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wisdom\Downloads\"/>
    </mc:Choice>
  </mc:AlternateContent>
  <xr:revisionPtr revIDLastSave="0" documentId="8_{DCCB0B4B-3322-4190-8975-A70CDF5B1242}" xr6:coauthVersionLast="47" xr6:coauthVersionMax="47" xr10:uidLastSave="{00000000-0000-0000-0000-000000000000}"/>
  <bookViews>
    <workbookView xWindow="1170" yWindow="1170" windowWidth="20550" windowHeight="15045" activeTab="1" xr2:uid="{00000000-000D-0000-FFFF-FFFF00000000}"/>
  </bookViews>
  <sheets>
    <sheet name="Application Information" sheetId="7" r:id="rId1"/>
    <sheet name="Submission Form" sheetId="20" r:id="rId2"/>
    <sheet name="Measure Assumptions" sheetId="14" state="hidden" r:id="rId3"/>
    <sheet name="Sheet1" sheetId="24" state="hidden" r:id="rId4"/>
  </sheets>
  <definedNames>
    <definedName name="_xlnm.Print_Area" localSheetId="0">'Application Information'!$B$2:$C$31</definedName>
    <definedName name="_xlnm.Print_Area" localSheetId="2">'Measure Assumptions'!$D$2:$U$26</definedName>
    <definedName name="_xlnm.Print_Area" localSheetId="1">'Submission Form'!$B$2:$L$85</definedName>
    <definedName name="_xlnm.Print_Titles" localSheetId="0">'Application Information'!$2:$5</definedName>
    <definedName name="_xlnm.Print_Titles" localSheetId="2">'Measure Assumptions'!$D:$D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4" l="1"/>
  <c r="P18" i="14" l="1"/>
  <c r="D62" i="20" s="1"/>
  <c r="K62" i="20" s="1"/>
  <c r="P17" i="14"/>
  <c r="D61" i="20" s="1"/>
  <c r="K61" i="20" s="1"/>
  <c r="B2" i="20"/>
  <c r="P26" i="14"/>
  <c r="R26" i="14" s="1"/>
  <c r="U26" i="14" s="1"/>
  <c r="P25" i="14"/>
  <c r="D48" i="20" s="1"/>
  <c r="K48" i="20" s="1"/>
  <c r="P24" i="14"/>
  <c r="R24" i="14" s="1"/>
  <c r="P23" i="14"/>
  <c r="R23" i="14" s="1"/>
  <c r="P22" i="14"/>
  <c r="D76" i="20" s="1"/>
  <c r="K76" i="20" s="1"/>
  <c r="P21" i="14"/>
  <c r="D75" i="20" s="1"/>
  <c r="K75" i="20" s="1"/>
  <c r="P20" i="14"/>
  <c r="R20" i="14" s="1"/>
  <c r="E74" i="20" s="1"/>
  <c r="L74" i="20" s="1"/>
  <c r="P19" i="14"/>
  <c r="R16" i="14"/>
  <c r="E42" i="20" s="1"/>
  <c r="L42" i="20" s="1"/>
  <c r="P15" i="14"/>
  <c r="P14" i="14"/>
  <c r="P13" i="14"/>
  <c r="R13" i="14" s="1"/>
  <c r="U13" i="14" s="1"/>
  <c r="P12" i="14"/>
  <c r="R12" i="14" s="1"/>
  <c r="P11" i="14"/>
  <c r="R11" i="14" s="1"/>
  <c r="U11" i="14" s="1"/>
  <c r="P10" i="14"/>
  <c r="R10" i="14" s="1"/>
  <c r="P9" i="14"/>
  <c r="R9" i="14" s="1"/>
  <c r="E28" i="20" s="1"/>
  <c r="L28" i="20" s="1"/>
  <c r="P8" i="14"/>
  <c r="R8" i="14" s="1"/>
  <c r="P7" i="14"/>
  <c r="D26" i="20" s="1"/>
  <c r="K26" i="20" s="1"/>
  <c r="P6" i="14"/>
  <c r="D25" i="20" s="1"/>
  <c r="K25" i="20" s="1"/>
  <c r="P5" i="14"/>
  <c r="R5" i="14" s="1"/>
  <c r="P4" i="14"/>
  <c r="D30" i="20" s="1"/>
  <c r="K30" i="20" s="1"/>
  <c r="P3" i="14"/>
  <c r="D29" i="20" s="1"/>
  <c r="K29" i="20" s="1"/>
  <c r="S9" i="14"/>
  <c r="S13" i="14"/>
  <c r="S10" i="14"/>
  <c r="D42" i="20"/>
  <c r="K42" i="20" s="1"/>
  <c r="D78" i="20"/>
  <c r="K78" i="20" s="1"/>
  <c r="R19" i="14"/>
  <c r="W19" i="14" s="1"/>
  <c r="X19" i="14" s="1"/>
  <c r="D73" i="20"/>
  <c r="K73" i="20" s="1"/>
  <c r="B3" i="20"/>
  <c r="S3" i="14"/>
  <c r="S4" i="14"/>
  <c r="S5" i="14"/>
  <c r="S6" i="14"/>
  <c r="S7" i="14"/>
  <c r="S8" i="14"/>
  <c r="S11" i="14"/>
  <c r="S12" i="14"/>
  <c r="S14" i="14"/>
  <c r="S15" i="14"/>
  <c r="S25" i="14"/>
  <c r="S26" i="14"/>
  <c r="R4" i="14"/>
  <c r="U4" i="14" s="1"/>
  <c r="R25" i="14"/>
  <c r="U25" i="14" s="1"/>
  <c r="R14" i="14"/>
  <c r="U14" i="14" s="1"/>
  <c r="D35" i="20"/>
  <c r="K35" i="20" s="1"/>
  <c r="D24" i="20"/>
  <c r="K24" i="20" s="1"/>
  <c r="R15" i="14"/>
  <c r="U15" i="14" s="1"/>
  <c r="D36" i="20"/>
  <c r="K36" i="20" s="1"/>
  <c r="R6" i="14"/>
  <c r="U6" i="14" s="1"/>
  <c r="R7" i="14"/>
  <c r="T7" i="14" s="1"/>
  <c r="D33" i="20" l="1"/>
  <c r="K33" i="20" s="1"/>
  <c r="D49" i="20"/>
  <c r="K49" i="20" s="1"/>
  <c r="U5" i="14"/>
  <c r="E24" i="20"/>
  <c r="L24" i="20" s="1"/>
  <c r="E78" i="20"/>
  <c r="L78" i="20" s="1"/>
  <c r="W24" i="14"/>
  <c r="X24" i="14" s="1"/>
  <c r="U10" i="14"/>
  <c r="E31" i="20"/>
  <c r="L31" i="20" s="1"/>
  <c r="E48" i="20"/>
  <c r="L48" i="20" s="1"/>
  <c r="D31" i="20"/>
  <c r="K31" i="20" s="1"/>
  <c r="R17" i="14"/>
  <c r="E61" i="20" s="1"/>
  <c r="L61" i="20" s="1"/>
  <c r="D74" i="20"/>
  <c r="K74" i="20" s="1"/>
  <c r="D32" i="20"/>
  <c r="K32" i="20" s="1"/>
  <c r="R3" i="14"/>
  <c r="U3" i="14" s="1"/>
  <c r="R18" i="14"/>
  <c r="E62" i="20" s="1"/>
  <c r="L62" i="20" s="1"/>
  <c r="E35" i="20"/>
  <c r="L35" i="20" s="1"/>
  <c r="E36" i="20"/>
  <c r="L36" i="20" s="1"/>
  <c r="R21" i="14"/>
  <c r="E73" i="20"/>
  <c r="L73" i="20" s="1"/>
  <c r="U7" i="14"/>
  <c r="T15" i="14"/>
  <c r="T4" i="14"/>
  <c r="D34" i="20"/>
  <c r="K34" i="20" s="1"/>
  <c r="U12" i="14"/>
  <c r="E33" i="20"/>
  <c r="L33" i="20" s="1"/>
  <c r="T12" i="14"/>
  <c r="T3" i="14"/>
  <c r="T14" i="14"/>
  <c r="W20" i="14"/>
  <c r="X20" i="14" s="1"/>
  <c r="E29" i="20"/>
  <c r="L29" i="20" s="1"/>
  <c r="E32" i="20"/>
  <c r="L32" i="20" s="1"/>
  <c r="T11" i="14"/>
  <c r="E30" i="20"/>
  <c r="L30" i="20" s="1"/>
  <c r="T10" i="14"/>
  <c r="T5" i="14"/>
  <c r="K66" i="20"/>
  <c r="E49" i="20"/>
  <c r="L49" i="20" s="1"/>
  <c r="T25" i="14"/>
  <c r="T26" i="14"/>
  <c r="E27" i="20"/>
  <c r="L27" i="20" s="1"/>
  <c r="U8" i="14"/>
  <c r="T8" i="14"/>
  <c r="E77" i="20"/>
  <c r="L77" i="20" s="1"/>
  <c r="W23" i="14"/>
  <c r="X23" i="14" s="1"/>
  <c r="E34" i="20"/>
  <c r="L34" i="20" s="1"/>
  <c r="D28" i="20"/>
  <c r="K28" i="20" s="1"/>
  <c r="E25" i="20"/>
  <c r="L25" i="20" s="1"/>
  <c r="E26" i="20"/>
  <c r="L26" i="20" s="1"/>
  <c r="T6" i="14"/>
  <c r="R22" i="14"/>
  <c r="D77" i="20"/>
  <c r="K77" i="20" s="1"/>
  <c r="T13" i="14"/>
  <c r="D27" i="20"/>
  <c r="K27" i="20" s="1"/>
  <c r="K84" i="20" l="1"/>
  <c r="K67" i="20"/>
  <c r="W21" i="14"/>
  <c r="X21" i="14" s="1"/>
  <c r="E75" i="20"/>
  <c r="L75" i="20" s="1"/>
  <c r="K54" i="20"/>
  <c r="K53" i="20"/>
  <c r="C30" i="7" s="1"/>
  <c r="W22" i="14"/>
  <c r="X22" i="14" s="1"/>
  <c r="E76" i="20"/>
  <c r="L76" i="20" s="1"/>
  <c r="K85" i="20" s="1"/>
  <c r="C31" i="7" l="1"/>
</calcChain>
</file>

<file path=xl/sharedStrings.xml><?xml version="1.0" encoding="utf-8"?>
<sst xmlns="http://schemas.openxmlformats.org/spreadsheetml/2006/main" count="301" uniqueCount="152">
  <si>
    <t>New Construction Commercial LED Lighting Incentive Worksheet</t>
  </si>
  <si>
    <t>Application Information Form</t>
  </si>
  <si>
    <t>NOTE: Information from spreadsheet can be copied and pasted into the online application form</t>
  </si>
  <si>
    <t>Member System Information</t>
  </si>
  <si>
    <t>Today's Date:</t>
  </si>
  <si>
    <t>Member System:</t>
  </si>
  <si>
    <t>Member System Contact e-mail:</t>
  </si>
  <si>
    <t>Project Information</t>
  </si>
  <si>
    <t>Member-owner Name:</t>
  </si>
  <si>
    <t>Account Number:</t>
  </si>
  <si>
    <t>Installation Address or Location:</t>
  </si>
  <si>
    <t>City:</t>
  </si>
  <si>
    <t>State:</t>
  </si>
  <si>
    <t>Zip Code:</t>
  </si>
  <si>
    <t>Project Name:</t>
  </si>
  <si>
    <t>Anticipated Completion Date:</t>
  </si>
  <si>
    <t>Occupancy Type:</t>
  </si>
  <si>
    <t>Project Summary (Calculation Based on Input Information)</t>
  </si>
  <si>
    <t>Total Anticipated kW Savings:</t>
  </si>
  <si>
    <t>Total Anticipated Incentive:</t>
  </si>
  <si>
    <t>Checklist of Necessary Information</t>
  </si>
  <si>
    <t>Final invoice for completed work matching inputs on this application</t>
  </si>
  <si>
    <t xml:space="preserve">Make and Model Number for new equipment or specification sheet </t>
  </si>
  <si>
    <t>Please Read - Important Notes</t>
  </si>
  <si>
    <t>1) Incentive is based on the lesser of the stated incentive or 50% of per item cost, with a $20,000 cap per project</t>
  </si>
  <si>
    <t>3) Information should be submitted by the participating cooperative or PPD to Tri-State</t>
  </si>
  <si>
    <t>4) Anticipated incentives are subject to Tri-State's review of application information and may differ based on that information</t>
  </si>
  <si>
    <t>5) An itemized invoice with per item costs is required to participate in the program, no estimated costs will be accepted.</t>
  </si>
  <si>
    <t>LED Fixtures</t>
  </si>
  <si>
    <t>LED Replacement</t>
  </si>
  <si>
    <t>Estimated kW Savings per Item</t>
  </si>
  <si>
    <t>Incentive per Item</t>
  </si>
  <si>
    <t>Quantity Installed</t>
  </si>
  <si>
    <t>Cost per Item</t>
  </si>
  <si>
    <t>Estimated Hours of Operation per Year</t>
  </si>
  <si>
    <t>Anticipated kW Savings</t>
  </si>
  <si>
    <t>Anticipated Incentive</t>
  </si>
  <si>
    <t>Wrap Fixture</t>
  </si>
  <si>
    <t>x</t>
  </si>
  <si>
    <t>Troffer - 1x4</t>
  </si>
  <si>
    <t>Troffer - 2x2</t>
  </si>
  <si>
    <t>Troffer - 2x4</t>
  </si>
  <si>
    <t>8 Ft Fixture</t>
  </si>
  <si>
    <t>6" or Smaller Can Light</t>
  </si>
  <si>
    <t xml:space="preserve">8" or Larger Commercial Can Light </t>
  </si>
  <si>
    <t>Low Bay (8k to 10k lumens)</t>
  </si>
  <si>
    <t>High Bay (Greater than 10k lumens)</t>
  </si>
  <si>
    <t>Wallpack or Sconce Light (1k to 2k Lumens)</t>
  </si>
  <si>
    <t>Wallpack or Sconce Light (Over 2k Lumens)</t>
  </si>
  <si>
    <t>Bollard Light</t>
  </si>
  <si>
    <t>Canopy Light</t>
  </si>
  <si>
    <t>Grow Lights</t>
  </si>
  <si>
    <t>Grow Lighting</t>
  </si>
  <si>
    <t>Exit Signs and Occupancy Sensors</t>
  </si>
  <si>
    <t>LED Exit Signs</t>
  </si>
  <si>
    <t>Vacancy / Occupancy Sensor</t>
  </si>
  <si>
    <t>Total kW Saved</t>
  </si>
  <si>
    <t>Total Incentive</t>
  </si>
  <si>
    <t>Refrigerated Case Lighting</t>
  </si>
  <si>
    <t>Ref. Case Lighting Doors - (per Door)</t>
  </si>
  <si>
    <t>Ref. Case Lighting - Open Case (per foot)</t>
  </si>
  <si>
    <t>Total Refrigerated Case Lighting Incentive</t>
  </si>
  <si>
    <t>Pole Mounted Lighting</t>
  </si>
  <si>
    <t>29,000 Lumens and Greater</t>
  </si>
  <si>
    <t>13,000 to 28,999 Lumens</t>
  </si>
  <si>
    <t>7,000 to 12,999 Lumens</t>
  </si>
  <si>
    <t>5,000 to 6,999 Lumens</t>
  </si>
  <si>
    <t>3,000 to 4,999 Lumens</t>
  </si>
  <si>
    <t>2,100 to 2,999 Lumens</t>
  </si>
  <si>
    <t>Total Pole Mounted Lighting Incentive</t>
  </si>
  <si>
    <t>Measure Group</t>
  </si>
  <si>
    <t>Product Category</t>
  </si>
  <si>
    <t>Efficient Measure Description</t>
  </si>
  <si>
    <t>Product Type</t>
  </si>
  <si>
    <t>Efficient Product Consumption (Watts)</t>
  </si>
  <si>
    <t>Avg. Efficient Product Cost</t>
  </si>
  <si>
    <t>Efficient Hours of Operation (hrs/yr)</t>
  </si>
  <si>
    <t>Baseline Product Description</t>
  </si>
  <si>
    <t>Baseline Product Consumption (Watts)</t>
  </si>
  <si>
    <t>Avg. Baseline Product Cost</t>
  </si>
  <si>
    <t>kW Reduction</t>
  </si>
  <si>
    <t>$/kW Incentive</t>
  </si>
  <si>
    <t>Total kW Saved Incentive</t>
  </si>
  <si>
    <t>Incremental Cost of Efficient Equipment</t>
  </si>
  <si>
    <t>Incentive as % of Incremental Cost</t>
  </si>
  <si>
    <t>Incentive as % of Efficient Product Cost</t>
  </si>
  <si>
    <t>Assumed Energy Cost</t>
  </si>
  <si>
    <t>Incremental Cost Payback Period w/ No Rebate</t>
  </si>
  <si>
    <t>Incremental Cost Payback Period w/ Rebate</t>
  </si>
  <si>
    <t>Annual kWh Savings per Fixture</t>
  </si>
  <si>
    <t>Customer kW Savings</t>
  </si>
  <si>
    <t>Generator Peak kW Savings</t>
  </si>
  <si>
    <t>Non-Energy O&amp;M Savings</t>
  </si>
  <si>
    <t>Energy O&amp;M Savings</t>
  </si>
  <si>
    <t>Coincidence Factor</t>
  </si>
  <si>
    <t>Commercial LED - New Construction</t>
  </si>
  <si>
    <t>LED Lamp</t>
  </si>
  <si>
    <t>8ft High Output T8 Lamp</t>
  </si>
  <si>
    <t>Fluorescent</t>
  </si>
  <si>
    <t>4-6in Can Light</t>
  </si>
  <si>
    <t>Can Light</t>
  </si>
  <si>
    <t>Incandescent</t>
  </si>
  <si>
    <t>Large Comm. Can Lights</t>
  </si>
  <si>
    <t>LED Fixture</t>
  </si>
  <si>
    <t>Large Can Light</t>
  </si>
  <si>
    <t>T8 Replacement Fixture</t>
  </si>
  <si>
    <t>4ft Fluorescent T8 Wrap</t>
  </si>
  <si>
    <t>Troffer Fixture</t>
  </si>
  <si>
    <t>2 Lamp 4ft T8</t>
  </si>
  <si>
    <t>2 lamp U-Bend T8</t>
  </si>
  <si>
    <t>4 Lamp 4ft T8</t>
  </si>
  <si>
    <t>Linear High Bay</t>
  </si>
  <si>
    <t>250W MH Low Bay</t>
  </si>
  <si>
    <t>MH</t>
  </si>
  <si>
    <t>400W MH High Bay</t>
  </si>
  <si>
    <t>Wallpack</t>
  </si>
  <si>
    <t>Weighted Avg of MH Wallpack Equivalents</t>
  </si>
  <si>
    <t>Metal Halide</t>
  </si>
  <si>
    <t>Bollard</t>
  </si>
  <si>
    <t>100W Incandescent</t>
  </si>
  <si>
    <t>Combined MH Equivalents</t>
  </si>
  <si>
    <t>LED Grow Lighting</t>
  </si>
  <si>
    <t>MH Grow Light</t>
  </si>
  <si>
    <t>Ref. Case Lighting</t>
  </si>
  <si>
    <t>Exit Signs</t>
  </si>
  <si>
    <t>Sensors</t>
  </si>
  <si>
    <t>Sensor</t>
  </si>
  <si>
    <t>Version Changes:</t>
  </si>
  <si>
    <t>password is Retro1</t>
  </si>
  <si>
    <t>On Submission Form Tab:</t>
  </si>
  <si>
    <t>Updated notes</t>
  </si>
  <si>
    <t>fixed locked cells for canopy lights</t>
  </si>
  <si>
    <t>Updated text for estimated hours under High bay and exterior lights</t>
  </si>
  <si>
    <t>Updated Occupancy Sensor to Vacancy/Occupancy Sensor</t>
  </si>
  <si>
    <t>Removed Rounding on kW to match online application form</t>
  </si>
  <si>
    <t>On Payback Calculator:</t>
  </si>
  <si>
    <t>Updated notes to be more clear on reference only</t>
  </si>
  <si>
    <t>Added ROI</t>
  </si>
  <si>
    <t>Added clarifying notes to submission form</t>
  </si>
  <si>
    <t>added ref. case lighting</t>
  </si>
  <si>
    <t>added pole mt lighting</t>
  </si>
  <si>
    <t>fixed calculations and wording on payback calc.</t>
  </si>
  <si>
    <t>Corrected total incentive calcs to limit to max rebates</t>
  </si>
  <si>
    <t>changed "fixture" to item, to reduce some confusion we have gotten</t>
  </si>
  <si>
    <t>updated notes for clarity</t>
  </si>
  <si>
    <t xml:space="preserve">Notes: </t>
  </si>
  <si>
    <t>2) Pole-mounted LEDs have a project cap of $20,000 and a limit of 25% of fixture cost. LED Refrigerated Case Lighting has a project cap of $3,000.</t>
  </si>
  <si>
    <t>Total New Cons. Incentive</t>
  </si>
  <si>
    <t>6) Battery-powered, emergency-only lighting systems and motion sensor security lighting are not eligible for rebates</t>
  </si>
  <si>
    <t>7) Rebate applications submitted after 12.31.21 require that all products be DLC certified</t>
  </si>
  <si>
    <t>8) LED Lamps are not rebated for New Construction installations. Only complete LED fixtures are eligible.</t>
  </si>
  <si>
    <t>Version 2023.1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</si>
</sst>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_(* #,##0_);_(* \(#,##0\);_(* &quot;-&quot;??_);_(@_)"/>
    <numFmt numFmtId="167" formatCode="mm/dd/yy;@"/>
    <numFmt numFmtId="168" formatCode="00000"/>
    <numFmt numFmtId="169" formatCode="&quot;$&quot;#,##0.00"/>
    <numFmt numFmtId="170" formatCode="0.00\ &quot;kW&quot;"/>
    <numFmt numFmtId="171" formatCode="&quot;$&quot;#,##0.000"/>
    <numFmt numFmtId="172" formatCode="0.0%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22"/>
      <color indexed="8"/>
      <name val="Calibri"/>
      <family val="2"/>
    </font>
    <font>
      <b/>
      <sz val="2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</font>
    <font>
      <i/>
      <sz val="9"/>
      <color rgb="FF7F7F7F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10" applyNumberFormat="0" applyAlignment="0" applyProtection="0"/>
    <xf numFmtId="0" fontId="32" fillId="13" borderId="11" applyNumberFormat="0" applyAlignment="0" applyProtection="0"/>
    <xf numFmtId="0" fontId="33" fillId="13" borderId="10" applyNumberFormat="0" applyAlignment="0" applyProtection="0"/>
    <xf numFmtId="0" fontId="34" fillId="0" borderId="12" applyNumberFormat="0" applyFill="0" applyAlignment="0" applyProtection="0"/>
    <xf numFmtId="0" fontId="22" fillId="14" borderId="13" applyNumberFormat="0" applyAlignment="0" applyProtection="0"/>
    <xf numFmtId="0" fontId="3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8" fillId="38" borderId="0" applyNumberFormat="0" applyBorder="0" applyAlignment="0" applyProtection="0"/>
    <xf numFmtId="0" fontId="23" fillId="24" borderId="0" applyNumberFormat="0" applyBorder="0" applyAlignment="0" applyProtection="0"/>
    <xf numFmtId="9" fontId="23" fillId="0" borderId="0" applyFont="0" applyFill="0" applyBorder="0" applyAlignment="0" applyProtection="0"/>
    <xf numFmtId="44" fontId="6" fillId="39" borderId="15">
      <alignment wrapText="1"/>
    </xf>
  </cellStyleXfs>
  <cellXfs count="121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164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right"/>
    </xf>
    <xf numFmtId="0" fontId="10" fillId="2" borderId="0" xfId="3" applyFill="1"/>
    <xf numFmtId="164" fontId="10" fillId="2" borderId="0" xfId="3" applyNumberFormat="1" applyFill="1" applyProtection="1">
      <protection locked="0"/>
    </xf>
    <xf numFmtId="0" fontId="10" fillId="2" borderId="0" xfId="3" applyFill="1" applyProtection="1">
      <protection locked="0"/>
    </xf>
    <xf numFmtId="0" fontId="18" fillId="2" borderId="0" xfId="0" applyFont="1" applyFill="1"/>
    <xf numFmtId="0" fontId="6" fillId="2" borderId="1" xfId="0" applyFont="1" applyFill="1" applyBorder="1" applyAlignment="1">
      <alignment horizontal="center" wrapText="1"/>
    </xf>
    <xf numFmtId="44" fontId="0" fillId="2" borderId="0" xfId="2" applyFont="1" applyFill="1"/>
    <xf numFmtId="0" fontId="6" fillId="2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Continuous"/>
    </xf>
    <xf numFmtId="0" fontId="9" fillId="3" borderId="4" xfId="0" applyFont="1" applyFill="1" applyBorder="1" applyAlignment="1">
      <alignment horizontal="centerContinuous"/>
    </xf>
    <xf numFmtId="0" fontId="21" fillId="3" borderId="5" xfId="0" applyFont="1" applyFill="1" applyBorder="1" applyAlignment="1">
      <alignment horizontal="centerContinuous"/>
    </xf>
    <xf numFmtId="0" fontId="9" fillId="3" borderId="6" xfId="0" applyFont="1" applyFill="1" applyBorder="1" applyAlignment="1">
      <alignment horizontal="centerContinuous"/>
    </xf>
    <xf numFmtId="165" fontId="3" fillId="2" borderId="0" xfId="0" applyNumberFormat="1" applyFont="1" applyFill="1" applyProtection="1">
      <protection locked="0"/>
    </xf>
    <xf numFmtId="0" fontId="0" fillId="2" borderId="16" xfId="0" applyFill="1" applyBorder="1"/>
    <xf numFmtId="169" fontId="0" fillId="2" borderId="15" xfId="0" applyNumberFormat="1" applyFill="1" applyBorder="1"/>
    <xf numFmtId="166" fontId="0" fillId="2" borderId="15" xfId="1" applyNumberFormat="1" applyFont="1" applyFill="1" applyBorder="1"/>
    <xf numFmtId="0" fontId="0" fillId="2" borderId="0" xfId="0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9" borderId="15" xfId="0" applyFill="1" applyBorder="1"/>
    <xf numFmtId="43" fontId="0" fillId="2" borderId="15" xfId="1" applyFont="1" applyFill="1" applyBorder="1"/>
    <xf numFmtId="0" fontId="0" fillId="2" borderId="0" xfId="0" applyFill="1" applyAlignment="1">
      <alignment horizontal="left" indent="1"/>
    </xf>
    <xf numFmtId="0" fontId="0" fillId="2" borderId="15" xfId="0" applyFill="1" applyBorder="1"/>
    <xf numFmtId="170" fontId="23" fillId="2" borderId="15" xfId="1" applyNumberFormat="1" applyFont="1" applyFill="1" applyBorder="1"/>
    <xf numFmtId="171" fontId="31" fillId="12" borderId="19" xfId="13" applyNumberFormat="1" applyBorder="1"/>
    <xf numFmtId="43" fontId="0" fillId="2" borderId="15" xfId="0" applyNumberFormat="1" applyFill="1" applyBorder="1"/>
    <xf numFmtId="165" fontId="31" fillId="12" borderId="15" xfId="13" applyNumberFormat="1" applyBorder="1"/>
    <xf numFmtId="169" fontId="33" fillId="13" borderId="15" xfId="15" applyNumberFormat="1" applyBorder="1"/>
    <xf numFmtId="172" fontId="0" fillId="2" borderId="15" xfId="45" applyNumberFormat="1" applyFont="1" applyFill="1" applyBorder="1"/>
    <xf numFmtId="166" fontId="0" fillId="7" borderId="15" xfId="1" applyNumberFormat="1" applyFont="1" applyFill="1" applyBorder="1" applyProtection="1">
      <protection locked="0"/>
    </xf>
    <xf numFmtId="169" fontId="0" fillId="7" borderId="15" xfId="2" applyNumberFormat="1" applyFont="1" applyFill="1" applyBorder="1" applyProtection="1"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6" fontId="0" fillId="7" borderId="18" xfId="1" applyNumberFormat="1" applyFont="1" applyFill="1" applyBorder="1" applyProtection="1">
      <protection locked="0"/>
    </xf>
    <xf numFmtId="0" fontId="17" fillId="4" borderId="2" xfId="0" applyFont="1" applyFill="1" applyBorder="1" applyAlignment="1">
      <alignment horizontal="centerContinuous"/>
    </xf>
    <xf numFmtId="0" fontId="17" fillId="4" borderId="3" xfId="0" applyFont="1" applyFill="1" applyBorder="1" applyAlignment="1">
      <alignment horizontal="centerContinuous"/>
    </xf>
    <xf numFmtId="0" fontId="8" fillId="4" borderId="3" xfId="0" applyFont="1" applyFill="1" applyBorder="1" applyAlignment="1">
      <alignment horizontal="centerContinuous"/>
    </xf>
    <xf numFmtId="0" fontId="37" fillId="4" borderId="5" xfId="0" applyFont="1" applyFill="1" applyBorder="1" applyAlignment="1">
      <alignment horizontal="centerContinuous"/>
    </xf>
    <xf numFmtId="0" fontId="11" fillId="6" borderId="16" xfId="0" applyFont="1" applyFill="1" applyBorder="1" applyAlignment="1">
      <alignment horizontal="centerContinuous"/>
    </xf>
    <xf numFmtId="0" fontId="11" fillId="6" borderId="17" xfId="0" applyFont="1" applyFill="1" applyBorder="1" applyAlignment="1">
      <alignment horizontal="centerContinuous"/>
    </xf>
    <xf numFmtId="0" fontId="36" fillId="2" borderId="0" xfId="0" applyFont="1" applyFill="1"/>
    <xf numFmtId="0" fontId="10" fillId="2" borderId="0" xfId="3" applyFill="1" applyProtection="1"/>
    <xf numFmtId="0" fontId="22" fillId="3" borderId="16" xfId="0" applyFont="1" applyFill="1" applyBorder="1" applyAlignment="1">
      <alignment horizontal="centerContinuous"/>
    </xf>
    <xf numFmtId="0" fontId="22" fillId="3" borderId="17" xfId="0" applyFont="1" applyFill="1" applyBorder="1" applyAlignment="1">
      <alignment horizontal="centerContinuous"/>
    </xf>
    <xf numFmtId="0" fontId="8" fillId="3" borderId="17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Continuous"/>
    </xf>
    <xf numFmtId="0" fontId="6" fillId="2" borderId="0" xfId="0" applyFont="1" applyFill="1" applyAlignment="1">
      <alignment horizontal="center" wrapText="1"/>
    </xf>
    <xf numFmtId="0" fontId="0" fillId="2" borderId="17" xfId="0" applyFill="1" applyBorder="1"/>
    <xf numFmtId="169" fontId="20" fillId="2" borderId="17" xfId="2" applyNumberFormat="1" applyFont="1" applyFill="1" applyBorder="1" applyProtection="1"/>
    <xf numFmtId="0" fontId="20" fillId="2" borderId="17" xfId="0" applyFont="1" applyFill="1" applyBorder="1" applyAlignment="1">
      <alignment horizontal="center"/>
    </xf>
    <xf numFmtId="0" fontId="0" fillId="2" borderId="3" xfId="0" applyFill="1" applyBorder="1"/>
    <xf numFmtId="169" fontId="20" fillId="2" borderId="3" xfId="2" applyNumberFormat="1" applyFont="1" applyFill="1" applyBorder="1" applyProtection="1"/>
    <xf numFmtId="0" fontId="20" fillId="2" borderId="3" xfId="0" applyFont="1" applyFill="1" applyBorder="1" applyAlignment="1">
      <alignment horizontal="center"/>
    </xf>
    <xf numFmtId="0" fontId="0" fillId="2" borderId="1" xfId="0" applyFill="1" applyBorder="1"/>
    <xf numFmtId="0" fontId="17" fillId="4" borderId="1" xfId="0" applyFont="1" applyFill="1" applyBorder="1" applyAlignment="1">
      <alignment horizontal="centerContinuous"/>
    </xf>
    <xf numFmtId="0" fontId="8" fillId="4" borderId="1" xfId="0" applyFont="1" applyFill="1" applyBorder="1" applyAlignment="1">
      <alignment horizontal="centerContinuous"/>
    </xf>
    <xf numFmtId="0" fontId="11" fillId="5" borderId="16" xfId="0" applyFont="1" applyFill="1" applyBorder="1" applyAlignment="1">
      <alignment horizontal="centerContinuous"/>
    </xf>
    <xf numFmtId="0" fontId="11" fillId="5" borderId="17" xfId="0" applyFont="1" applyFill="1" applyBorder="1" applyAlignment="1">
      <alignment horizontal="centerContinuous"/>
    </xf>
    <xf numFmtId="0" fontId="11" fillId="5" borderId="18" xfId="0" applyFont="1" applyFill="1" applyBorder="1" applyAlignment="1">
      <alignment horizontal="centerContinuous"/>
    </xf>
    <xf numFmtId="0" fontId="0" fillId="8" borderId="15" xfId="0" applyFill="1" applyBorder="1"/>
    <xf numFmtId="170" fontId="20" fillId="2" borderId="17" xfId="1" applyNumberFormat="1" applyFont="1" applyFill="1" applyBorder="1" applyProtection="1"/>
    <xf numFmtId="43" fontId="6" fillId="2" borderId="16" xfId="1" applyFont="1" applyFill="1" applyBorder="1" applyProtection="1"/>
    <xf numFmtId="44" fontId="6" fillId="2" borderId="18" xfId="2" applyFont="1" applyFill="1" applyBorder="1" applyProtection="1"/>
    <xf numFmtId="44" fontId="6" fillId="2" borderId="0" xfId="2" applyFont="1" applyFill="1" applyBorder="1" applyProtection="1"/>
    <xf numFmtId="170" fontId="20" fillId="2" borderId="3" xfId="1" applyNumberFormat="1" applyFont="1" applyFill="1" applyBorder="1" applyProtection="1"/>
    <xf numFmtId="0" fontId="20" fillId="2" borderId="18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70" fontId="20" fillId="2" borderId="1" xfId="1" applyNumberFormat="1" applyFont="1" applyFill="1" applyBorder="1" applyProtection="1"/>
    <xf numFmtId="169" fontId="20" fillId="2" borderId="1" xfId="2" applyNumberFormat="1" applyFont="1" applyFill="1" applyBorder="1" applyProtection="1"/>
    <xf numFmtId="0" fontId="20" fillId="2" borderId="1" xfId="0" applyFont="1" applyFill="1" applyBorder="1" applyAlignment="1">
      <alignment horizontal="center"/>
    </xf>
    <xf numFmtId="0" fontId="6" fillId="40" borderId="16" xfId="0" applyFont="1" applyFill="1" applyBorder="1" applyAlignment="1">
      <alignment horizontal="centerContinuous"/>
    </xf>
    <xf numFmtId="0" fontId="6" fillId="40" borderId="17" xfId="0" applyFont="1" applyFill="1" applyBorder="1" applyAlignment="1">
      <alignment horizontal="centerContinuous"/>
    </xf>
    <xf numFmtId="0" fontId="6" fillId="40" borderId="18" xfId="0" applyFont="1" applyFill="1" applyBorder="1" applyAlignment="1">
      <alignment horizontal="centerContinuous"/>
    </xf>
    <xf numFmtId="0" fontId="6" fillId="2" borderId="0" xfId="0" applyFont="1" applyFill="1"/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0" fillId="6" borderId="3" xfId="0" applyFill="1" applyBorder="1"/>
    <xf numFmtId="170" fontId="6" fillId="6" borderId="4" xfId="1" applyNumberFormat="1" applyFont="1" applyFill="1" applyBorder="1" applyProtection="1"/>
    <xf numFmtId="0" fontId="6" fillId="6" borderId="5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6" borderId="1" xfId="0" applyFill="1" applyBorder="1"/>
    <xf numFmtId="169" fontId="6" fillId="6" borderId="6" xfId="0" applyNumberFormat="1" applyFont="1" applyFill="1" applyBorder="1"/>
    <xf numFmtId="170" fontId="20" fillId="2" borderId="0" xfId="1" applyNumberFormat="1" applyFont="1" applyFill="1" applyBorder="1" applyProtection="1"/>
    <xf numFmtId="169" fontId="20" fillId="2" borderId="0" xfId="2" applyNumberFormat="1" applyFont="1" applyFill="1" applyBorder="1" applyProtection="1"/>
    <xf numFmtId="0" fontId="20" fillId="2" borderId="0" xfId="0" applyFont="1" applyFill="1" applyAlignment="1">
      <alignment horizontal="center"/>
    </xf>
    <xf numFmtId="166" fontId="0" fillId="2" borderId="0" xfId="1" applyNumberFormat="1" applyFont="1" applyFill="1" applyBorder="1" applyProtection="1"/>
    <xf numFmtId="169" fontId="0" fillId="2" borderId="0" xfId="2" applyNumberFormat="1" applyFont="1" applyFill="1" applyBorder="1" applyProtection="1"/>
    <xf numFmtId="43" fontId="6" fillId="2" borderId="0" xfId="1" applyFont="1" applyFill="1" applyBorder="1" applyProtection="1"/>
    <xf numFmtId="0" fontId="0" fillId="39" borderId="16" xfId="0" applyFill="1" applyBorder="1"/>
    <xf numFmtId="166" fontId="0" fillId="41" borderId="0" xfId="1" applyNumberFormat="1" applyFont="1" applyFill="1" applyBorder="1" applyProtection="1"/>
    <xf numFmtId="169" fontId="0" fillId="41" borderId="0" xfId="2" applyNumberFormat="1" applyFont="1" applyFill="1" applyBorder="1" applyProtection="1"/>
    <xf numFmtId="0" fontId="0" fillId="41" borderId="0" xfId="0" applyFill="1"/>
    <xf numFmtId="0" fontId="15" fillId="4" borderId="16" xfId="0" applyFont="1" applyFill="1" applyBorder="1" applyAlignment="1">
      <alignment horizontal="centerContinuous"/>
    </xf>
    <xf numFmtId="0" fontId="19" fillId="4" borderId="18" xfId="0" applyFont="1" applyFill="1" applyBorder="1" applyAlignment="1">
      <alignment horizontal="centerContinuous"/>
    </xf>
    <xf numFmtId="0" fontId="6" fillId="5" borderId="16" xfId="0" applyFont="1" applyFill="1" applyBorder="1" applyAlignment="1">
      <alignment horizontal="centerContinuous"/>
    </xf>
    <xf numFmtId="164" fontId="2" fillId="5" borderId="18" xfId="0" applyNumberFormat="1" applyFont="1" applyFill="1" applyBorder="1" applyAlignment="1" applyProtection="1">
      <alignment horizontal="centerContinuous"/>
      <protection locked="0"/>
    </xf>
    <xf numFmtId="167" fontId="3" fillId="7" borderId="15" xfId="0" applyNumberFormat="1" applyFont="1" applyFill="1" applyBorder="1" applyAlignment="1" applyProtection="1">
      <alignment horizontal="right"/>
      <protection locked="0"/>
    </xf>
    <xf numFmtId="49" fontId="13" fillId="7" borderId="15" xfId="0" applyNumberFormat="1" applyFont="1" applyFill="1" applyBorder="1" applyAlignment="1" applyProtection="1">
      <alignment horizontal="right"/>
      <protection locked="0"/>
    </xf>
    <xf numFmtId="49" fontId="14" fillId="7" borderId="15" xfId="4" applyNumberFormat="1" applyFill="1" applyBorder="1" applyAlignment="1" applyProtection="1">
      <alignment horizontal="right"/>
      <protection locked="0"/>
    </xf>
    <xf numFmtId="0" fontId="13" fillId="7" borderId="15" xfId="0" applyFont="1" applyFill="1" applyBorder="1" applyAlignment="1" applyProtection="1">
      <alignment horizontal="right"/>
      <protection locked="0"/>
    </xf>
    <xf numFmtId="168" fontId="13" fillId="7" borderId="15" xfId="0" applyNumberFormat="1" applyFont="1" applyFill="1" applyBorder="1" applyAlignment="1" applyProtection="1">
      <alignment horizontal="right"/>
      <protection locked="0"/>
    </xf>
    <xf numFmtId="164" fontId="12" fillId="7" borderId="15" xfId="0" applyNumberFormat="1" applyFont="1" applyFill="1" applyBorder="1" applyAlignment="1" applyProtection="1">
      <alignment horizontal="right"/>
      <protection locked="0"/>
    </xf>
    <xf numFmtId="167" fontId="3" fillId="7" borderId="15" xfId="0" applyNumberFormat="1" applyFont="1" applyFill="1" applyBorder="1" applyProtection="1">
      <protection locked="0"/>
    </xf>
    <xf numFmtId="170" fontId="20" fillId="2" borderId="16" xfId="1" applyNumberFormat="1" applyFont="1" applyFill="1" applyBorder="1" applyProtection="1"/>
    <xf numFmtId="166" fontId="0" fillId="2" borderId="17" xfId="1" applyNumberFormat="1" applyFont="1" applyFill="1" applyBorder="1" applyProtection="1">
      <protection locked="0"/>
    </xf>
    <xf numFmtId="169" fontId="0" fillId="2" borderId="17" xfId="2" applyNumberFormat="1" applyFont="1" applyFill="1" applyBorder="1" applyProtection="1">
      <protection locked="0"/>
    </xf>
    <xf numFmtId="43" fontId="6" fillId="2" borderId="17" xfId="1" applyFont="1" applyFill="1" applyBorder="1" applyProtection="1"/>
    <xf numFmtId="0" fontId="0" fillId="2" borderId="0" xfId="0" applyFill="1" applyAlignment="1">
      <alignment horizontal="right" vertical="center"/>
    </xf>
    <xf numFmtId="0" fontId="8" fillId="4" borderId="4" xfId="0" applyFont="1" applyFill="1" applyBorder="1" applyAlignment="1">
      <alignment horizontal="centerContinuous"/>
    </xf>
    <xf numFmtId="0" fontId="8" fillId="4" borderId="6" xfId="0" applyFont="1" applyFill="1" applyBorder="1" applyAlignment="1">
      <alignment horizontal="centerContinuous"/>
    </xf>
    <xf numFmtId="0" fontId="8" fillId="3" borderId="18" xfId="0" applyFont="1" applyFill="1" applyBorder="1" applyAlignment="1">
      <alignment horizontal="centerContinuous"/>
    </xf>
    <xf numFmtId="0" fontId="11" fillId="6" borderId="18" xfId="0" applyFont="1" applyFill="1" applyBorder="1" applyAlignment="1">
      <alignment horizontal="centerContinuous"/>
    </xf>
    <xf numFmtId="166" fontId="0" fillId="42" borderId="15" xfId="1" applyNumberFormat="1" applyFont="1" applyFill="1" applyBorder="1" applyProtection="1">
      <protection locked="0"/>
    </xf>
  </cellXfs>
  <cellStyles count="47">
    <cellStyle name="20% - Accent1" xfId="21" builtinId="30" customBuiltin="1"/>
    <cellStyle name="20% - Accent2" xfId="25" builtinId="34" customBuiltin="1"/>
    <cellStyle name="20% - Accent3" xfId="29" builtinId="38" hidden="1" customBuiltin="1"/>
    <cellStyle name="20% - Accent3" xfId="44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3" builtinId="53"/>
    <cellStyle name="Good" xfId="10" builtinId="26" customBuiltin="1"/>
    <cellStyle name="h'" xfId="46" xr:uid="{00000000-0005-0000-0000-00002000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Output" xfId="14" builtinId="21" customBuiltin="1"/>
    <cellStyle name="Percent" xfId="45" builtinId="5"/>
    <cellStyle name="Title" xfId="5" builtinId="15" customBuiltin="1"/>
    <cellStyle name="Total" xfId="19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60"/>
  <sheetViews>
    <sheetView zoomScale="80" zoomScaleNormal="80" workbookViewId="0">
      <selection activeCell="B6" sqref="B6"/>
    </sheetView>
  </sheetViews>
  <sheetFormatPr defaultColWidth="0" defaultRowHeight="15" zeroHeight="1" x14ac:dyDescent="0.25"/>
  <cols>
    <col min="1" max="1" width="3.28515625" style="1" customWidth="1"/>
    <col min="2" max="2" width="69" style="1" customWidth="1"/>
    <col min="3" max="3" width="36.7109375" style="1" customWidth="1"/>
    <col min="4" max="4" width="3.28515625" style="1" customWidth="1"/>
    <col min="5" max="6" width="0" style="1" hidden="1" customWidth="1"/>
    <col min="7" max="16384" width="9.140625" style="1" hidden="1"/>
  </cols>
  <sheetData>
    <row r="1" spans="2:6" x14ac:dyDescent="0.25"/>
    <row r="2" spans="2:6" s="13" customFormat="1" ht="33.75" x14ac:dyDescent="0.5">
      <c r="B2" s="100" t="s">
        <v>0</v>
      </c>
      <c r="C2" s="101"/>
    </row>
    <row r="3" spans="2:6" ht="5.0999999999999996" customHeight="1" x14ac:dyDescent="0.45">
      <c r="B3" s="7"/>
      <c r="C3" s="8"/>
    </row>
    <row r="4" spans="2:6" s="2" customFormat="1" ht="21" customHeight="1" x14ac:dyDescent="0.45">
      <c r="B4" s="17" t="s">
        <v>1</v>
      </c>
      <c r="C4" s="18"/>
      <c r="D4" s="3"/>
      <c r="E4" s="3"/>
      <c r="F4" s="3"/>
    </row>
    <row r="5" spans="2:6" s="2" customFormat="1" ht="16.899999999999999" customHeight="1" x14ac:dyDescent="0.45">
      <c r="B5" s="19" t="s">
        <v>151</v>
      </c>
      <c r="C5" s="20"/>
      <c r="D5" s="3"/>
      <c r="E5" s="3"/>
      <c r="F5" s="3"/>
    </row>
    <row r="6" spans="2:6" ht="5.0999999999999996" customHeight="1" x14ac:dyDescent="0.35">
      <c r="C6" s="4"/>
      <c r="D6" s="5"/>
      <c r="E6" s="6"/>
      <c r="F6" s="6"/>
    </row>
    <row r="7" spans="2:6" s="10" customFormat="1" ht="12" x14ac:dyDescent="0.2">
      <c r="B7" s="10" t="s">
        <v>2</v>
      </c>
      <c r="C7" s="11"/>
      <c r="D7" s="12"/>
    </row>
    <row r="8" spans="2:6" ht="5.0999999999999996" customHeight="1" x14ac:dyDescent="0.35">
      <c r="C8" s="4"/>
      <c r="D8" s="5"/>
      <c r="E8" s="6"/>
      <c r="F8" s="6"/>
    </row>
    <row r="9" spans="2:6" ht="21" x14ac:dyDescent="0.35">
      <c r="B9" s="102" t="s">
        <v>3</v>
      </c>
      <c r="C9" s="103"/>
      <c r="D9" s="5"/>
      <c r="E9" s="6"/>
      <c r="F9" s="6"/>
    </row>
    <row r="10" spans="2:6" ht="5.0999999999999996" customHeight="1" x14ac:dyDescent="0.35">
      <c r="D10" s="5"/>
      <c r="E10" s="6"/>
      <c r="F10" s="6"/>
    </row>
    <row r="11" spans="2:6" ht="21" x14ac:dyDescent="0.35">
      <c r="B11" s="9" t="s">
        <v>4</v>
      </c>
      <c r="C11" s="104"/>
      <c r="D11" s="5"/>
      <c r="E11" s="6"/>
      <c r="F11" s="6"/>
    </row>
    <row r="12" spans="2:6" ht="21" x14ac:dyDescent="0.35">
      <c r="B12" s="9" t="s">
        <v>5</v>
      </c>
      <c r="C12" s="105"/>
      <c r="D12" s="5"/>
      <c r="E12" s="6"/>
      <c r="F12" s="6"/>
    </row>
    <row r="13" spans="2:6" ht="21" x14ac:dyDescent="0.35">
      <c r="B13" s="9" t="s">
        <v>6</v>
      </c>
      <c r="C13" s="106"/>
      <c r="D13" s="5"/>
      <c r="E13" s="6"/>
      <c r="F13" s="6"/>
    </row>
    <row r="14" spans="2:6" ht="5.0999999999999996" customHeight="1" x14ac:dyDescent="0.35">
      <c r="C14" s="4"/>
      <c r="D14" s="5"/>
      <c r="E14" s="6"/>
      <c r="F14" s="6"/>
    </row>
    <row r="15" spans="2:6" ht="21" x14ac:dyDescent="0.35">
      <c r="B15" s="102" t="s">
        <v>7</v>
      </c>
      <c r="C15" s="103"/>
      <c r="D15" s="5"/>
      <c r="E15" s="6"/>
      <c r="F15" s="6"/>
    </row>
    <row r="16" spans="2:6" ht="5.0999999999999996" customHeight="1" x14ac:dyDescent="0.35">
      <c r="C16" s="4"/>
      <c r="D16" s="5"/>
      <c r="E16" s="6"/>
      <c r="F16" s="6"/>
    </row>
    <row r="17" spans="2:6" ht="21" x14ac:dyDescent="0.35">
      <c r="B17" s="9" t="s">
        <v>8</v>
      </c>
      <c r="C17" s="105"/>
      <c r="D17" s="5"/>
      <c r="E17" s="6"/>
      <c r="F17" s="6"/>
    </row>
    <row r="18" spans="2:6" ht="21" x14ac:dyDescent="0.35">
      <c r="B18" s="9" t="s">
        <v>9</v>
      </c>
      <c r="C18" s="107"/>
      <c r="D18" s="5"/>
      <c r="E18" s="6"/>
      <c r="F18" s="6"/>
    </row>
    <row r="19" spans="2:6" ht="21" x14ac:dyDescent="0.35">
      <c r="B19" s="9" t="s">
        <v>10</v>
      </c>
      <c r="C19" s="105"/>
      <c r="D19" s="5"/>
      <c r="E19" s="6"/>
      <c r="F19" s="6"/>
    </row>
    <row r="20" spans="2:6" ht="21" x14ac:dyDescent="0.35">
      <c r="B20" s="9" t="s">
        <v>11</v>
      </c>
      <c r="C20" s="105"/>
      <c r="D20" s="5"/>
      <c r="E20" s="6"/>
      <c r="F20" s="6"/>
    </row>
    <row r="21" spans="2:6" ht="21" x14ac:dyDescent="0.35">
      <c r="B21" s="9" t="s">
        <v>12</v>
      </c>
      <c r="C21" s="105"/>
      <c r="D21" s="5"/>
      <c r="E21" s="6"/>
      <c r="F21" s="6"/>
    </row>
    <row r="22" spans="2:6" ht="21" x14ac:dyDescent="0.35">
      <c r="B22" s="9" t="s">
        <v>13</v>
      </c>
      <c r="C22" s="108"/>
      <c r="D22" s="5"/>
      <c r="E22" s="6"/>
      <c r="F22" s="6"/>
    </row>
    <row r="23" spans="2:6" ht="21" x14ac:dyDescent="0.35">
      <c r="B23" s="9" t="s">
        <v>14</v>
      </c>
      <c r="C23" s="109"/>
      <c r="D23" s="5"/>
      <c r="E23" s="6"/>
      <c r="F23" s="6"/>
    </row>
    <row r="24" spans="2:6" ht="21" x14ac:dyDescent="0.35">
      <c r="B24" s="9" t="s">
        <v>15</v>
      </c>
      <c r="C24" s="110"/>
      <c r="D24" s="5"/>
      <c r="E24" s="6"/>
      <c r="F24" s="6"/>
    </row>
    <row r="25" spans="2:6" ht="21" x14ac:dyDescent="0.35">
      <c r="B25" s="9" t="s">
        <v>16</v>
      </c>
      <c r="C25" s="105"/>
      <c r="D25" s="5"/>
      <c r="E25" s="6"/>
      <c r="F25" s="6"/>
    </row>
    <row r="26" spans="2:6" ht="5.0999999999999996" customHeight="1" x14ac:dyDescent="0.35">
      <c r="B26" s="9"/>
      <c r="C26" s="21"/>
      <c r="D26" s="5"/>
      <c r="E26" s="6"/>
      <c r="F26" s="6"/>
    </row>
    <row r="27" spans="2:6" ht="5.0999999999999996" customHeight="1" x14ac:dyDescent="0.35">
      <c r="C27" s="4"/>
      <c r="D27" s="5"/>
      <c r="E27" s="6"/>
      <c r="F27" s="6"/>
    </row>
    <row r="28" spans="2:6" ht="21" x14ac:dyDescent="0.35">
      <c r="B28" s="102" t="s">
        <v>17</v>
      </c>
      <c r="C28" s="103"/>
      <c r="D28" s="5"/>
      <c r="E28" s="6"/>
      <c r="F28" s="6"/>
    </row>
    <row r="29" spans="2:6" ht="5.0999999999999996" customHeight="1" x14ac:dyDescent="0.25"/>
    <row r="30" spans="2:6" x14ac:dyDescent="0.25">
      <c r="B30" s="9" t="s">
        <v>18</v>
      </c>
      <c r="C30" s="31">
        <f>'Submission Form'!$K$53+'Submission Form'!$K$66+'Submission Form'!$K$84</f>
        <v>0</v>
      </c>
    </row>
    <row r="31" spans="2:6" x14ac:dyDescent="0.25">
      <c r="B31" s="9" t="s">
        <v>19</v>
      </c>
      <c r="C31" s="23">
        <f>+'Submission Form'!$K$54+'Submission Form'!$K$67+'Submission Form'!$K$85</f>
        <v>0</v>
      </c>
    </row>
    <row r="32" spans="2:6" ht="5.0999999999999996" customHeight="1" x14ac:dyDescent="0.25">
      <c r="B32" s="9"/>
      <c r="C32" s="15"/>
    </row>
    <row r="33" spans="2:2" hidden="1" x14ac:dyDescent="0.25">
      <c r="B33" s="10"/>
    </row>
    <row r="34" spans="2:2" hidden="1" x14ac:dyDescent="0.25">
      <c r="B34" s="10"/>
    </row>
    <row r="60" x14ac:dyDescent="0.25"/>
  </sheetData>
  <sheetProtection algorithmName="SHA-512" hashValue="vLtrp9nXM3ANwRhAB9S4YMnoaXj0qjv2tsV1ihjnANT5sn929BWeN/y3J1PbtGcI6RP7qSXj5QV2lAr3MJBc3w==" saltValue="GGF5z0Xm6c4oiRbCxsZa6Q==" spinCount="100000" sheet="1" objects="1" scenarios="1"/>
  <printOptions horizontalCentered="1"/>
  <pageMargins left="0.7" right="0.7" top="0.75" bottom="0.75" header="0.3" footer="0.3"/>
  <pageSetup scale="85" orientation="portrait" r:id="rId1"/>
  <headerFooter>
    <oddFooter>&amp;LPre-Authorized Comm. Lighting&amp;RPage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7"/>
  <sheetViews>
    <sheetView tabSelected="1" topLeftCell="A44" zoomScale="90" zoomScaleNormal="90" workbookViewId="0">
      <selection activeCell="C8" sqref="C8"/>
    </sheetView>
  </sheetViews>
  <sheetFormatPr defaultColWidth="0" defaultRowHeight="15" zeroHeight="1" x14ac:dyDescent="0.25"/>
  <cols>
    <col min="1" max="2" width="3.28515625" style="1" customWidth="1"/>
    <col min="3" max="3" width="42.7109375" style="1" customWidth="1"/>
    <col min="4" max="4" width="14.140625" style="1" bestFit="1" customWidth="1"/>
    <col min="5" max="5" width="12.7109375" style="1" customWidth="1"/>
    <col min="6" max="6" width="3.28515625" style="1" customWidth="1"/>
    <col min="7" max="7" width="12.7109375" style="1" customWidth="1"/>
    <col min="8" max="8" width="14.140625" style="1" bestFit="1" customWidth="1"/>
    <col min="9" max="9" width="14.140625" style="1" customWidth="1"/>
    <col min="10" max="10" width="0.85546875" style="1" customWidth="1"/>
    <col min="11" max="12" width="12.7109375" style="1" customWidth="1"/>
    <col min="13" max="13" width="3.28515625" style="1" customWidth="1"/>
    <col min="14" max="24" width="0" style="1" hidden="1" customWidth="1"/>
    <col min="25" max="16384" width="8.85546875" style="1" hidden="1"/>
  </cols>
  <sheetData>
    <row r="1" spans="2:12" x14ac:dyDescent="0.25"/>
    <row r="2" spans="2:12" ht="18.75" x14ac:dyDescent="0.3">
      <c r="B2" s="42" t="str">
        <f>+'Application Information'!B2</f>
        <v>New Construction Commercial LED Lighting Incentive Worksheet</v>
      </c>
      <c r="C2" s="43"/>
      <c r="D2" s="43"/>
      <c r="E2" s="44"/>
      <c r="F2" s="44"/>
      <c r="G2" s="44"/>
      <c r="H2" s="44"/>
      <c r="I2" s="44"/>
      <c r="J2" s="44"/>
      <c r="K2" s="44"/>
      <c r="L2" s="116"/>
    </row>
    <row r="3" spans="2:12" ht="12" customHeight="1" x14ac:dyDescent="0.3">
      <c r="B3" s="45" t="str">
        <f>+'Application Information'!B5</f>
        <v>Version 2023.1</v>
      </c>
      <c r="C3" s="62"/>
      <c r="D3" s="62"/>
      <c r="E3" s="63"/>
      <c r="F3" s="63"/>
      <c r="G3" s="63"/>
      <c r="H3" s="63"/>
      <c r="I3" s="63"/>
      <c r="J3" s="63"/>
      <c r="K3" s="63"/>
      <c r="L3" s="117"/>
    </row>
    <row r="4" spans="2:12" ht="4.9000000000000004" customHeight="1" x14ac:dyDescent="0.25"/>
    <row r="5" spans="2:12" x14ac:dyDescent="0.25">
      <c r="B5" s="64" t="s">
        <v>20</v>
      </c>
      <c r="C5" s="65"/>
      <c r="D5" s="65"/>
      <c r="E5" s="65"/>
      <c r="F5" s="66"/>
    </row>
    <row r="6" spans="2:12" ht="5.0999999999999996" customHeight="1" x14ac:dyDescent="0.25"/>
    <row r="7" spans="2:12" x14ac:dyDescent="0.25">
      <c r="B7" s="67"/>
      <c r="C7" s="29" t="s">
        <v>21</v>
      </c>
      <c r="D7" s="29"/>
    </row>
    <row r="8" spans="2:12" ht="5.0999999999999996" customHeight="1" x14ac:dyDescent="0.25">
      <c r="C8" s="29"/>
      <c r="D8" s="29"/>
    </row>
    <row r="9" spans="2:12" x14ac:dyDescent="0.25">
      <c r="B9" s="67"/>
      <c r="C9" s="29" t="s">
        <v>22</v>
      </c>
      <c r="D9" s="29"/>
    </row>
    <row r="10" spans="2:12" ht="4.9000000000000004" customHeight="1" x14ac:dyDescent="0.25"/>
    <row r="11" spans="2:12" s="48" customFormat="1" x14ac:dyDescent="0.25">
      <c r="B11" s="46" t="s">
        <v>23</v>
      </c>
      <c r="C11" s="47"/>
      <c r="D11" s="47"/>
      <c r="E11" s="47"/>
      <c r="F11" s="47"/>
      <c r="G11" s="47"/>
      <c r="H11" s="47"/>
      <c r="I11" s="47"/>
      <c r="J11" s="47"/>
      <c r="K11" s="47"/>
      <c r="L11" s="119"/>
    </row>
    <row r="12" spans="2:12" ht="4.9000000000000004" customHeight="1" x14ac:dyDescent="0.25"/>
    <row r="13" spans="2:12" ht="12" customHeight="1" x14ac:dyDescent="0.25">
      <c r="B13" s="49" t="s">
        <v>24</v>
      </c>
      <c r="C13" s="49"/>
      <c r="D13" s="49"/>
    </row>
    <row r="14" spans="2:12" ht="12" customHeight="1" x14ac:dyDescent="0.25">
      <c r="B14" s="49" t="s">
        <v>146</v>
      </c>
      <c r="C14" s="49"/>
      <c r="D14" s="49"/>
    </row>
    <row r="15" spans="2:12" ht="12" customHeight="1" x14ac:dyDescent="0.25">
      <c r="B15" s="49" t="s">
        <v>25</v>
      </c>
    </row>
    <row r="16" spans="2:12" ht="12" customHeight="1" x14ac:dyDescent="0.25">
      <c r="B16" s="49" t="s">
        <v>26</v>
      </c>
    </row>
    <row r="17" spans="2:12" ht="12" customHeight="1" x14ac:dyDescent="0.25">
      <c r="B17" s="49" t="s">
        <v>27</v>
      </c>
    </row>
    <row r="18" spans="2:12" ht="12" customHeight="1" x14ac:dyDescent="0.25">
      <c r="B18" s="49" t="s">
        <v>148</v>
      </c>
    </row>
    <row r="19" spans="2:12" ht="12" customHeight="1" x14ac:dyDescent="0.25">
      <c r="B19" s="49" t="s">
        <v>149</v>
      </c>
    </row>
    <row r="20" spans="2:12" ht="12" customHeight="1" x14ac:dyDescent="0.25">
      <c r="B20" s="49" t="s">
        <v>150</v>
      </c>
    </row>
    <row r="21" spans="2:12" ht="4.9000000000000004" customHeight="1" x14ac:dyDescent="0.25"/>
    <row r="22" spans="2:12" x14ac:dyDescent="0.25">
      <c r="B22" s="50" t="s">
        <v>28</v>
      </c>
      <c r="C22" s="51"/>
      <c r="D22" s="51"/>
      <c r="E22" s="51"/>
      <c r="F22" s="51"/>
      <c r="G22" s="52"/>
      <c r="H22" s="52"/>
      <c r="I22" s="52"/>
      <c r="J22" s="52"/>
      <c r="K22" s="52"/>
      <c r="L22" s="118"/>
    </row>
    <row r="23" spans="2:12" ht="60" x14ac:dyDescent="0.25">
      <c r="B23" s="53" t="s">
        <v>29</v>
      </c>
      <c r="C23" s="53"/>
      <c r="D23" s="14" t="s">
        <v>30</v>
      </c>
      <c r="E23" s="14" t="s">
        <v>31</v>
      </c>
      <c r="F23" s="16"/>
      <c r="G23" s="14" t="s">
        <v>32</v>
      </c>
      <c r="H23" s="14" t="s">
        <v>33</v>
      </c>
      <c r="I23" s="54" t="s">
        <v>34</v>
      </c>
      <c r="J23" s="54"/>
      <c r="K23" s="14" t="s">
        <v>35</v>
      </c>
      <c r="L23" s="14" t="s">
        <v>36</v>
      </c>
    </row>
    <row r="24" spans="2:12" x14ac:dyDescent="0.25">
      <c r="B24" s="30" t="s">
        <v>37</v>
      </c>
      <c r="C24" s="55"/>
      <c r="D24" s="68">
        <f>INDEX('Measure Assumptions'!$P$3:$P$26,MATCH('Submission Form'!$B24,'Measure Assumptions'!$D$3:$D$26,0),0)</f>
        <v>9.6499999999999989E-3</v>
      </c>
      <c r="E24" s="56">
        <f>INDEX('Measure Assumptions'!$R$3:$R$26,MATCH('Submission Form'!$B24,'Measure Assumptions'!$D$3:$D$26,0),0)</f>
        <v>4</v>
      </c>
      <c r="F24" s="57" t="s">
        <v>38</v>
      </c>
      <c r="G24" s="37"/>
      <c r="H24" s="38"/>
      <c r="I24" s="120"/>
      <c r="K24" s="69">
        <f t="shared" ref="K24:K27" si="0">D24*G24</f>
        <v>0</v>
      </c>
      <c r="L24" s="70">
        <f t="shared" ref="L24:L27" si="1">ROUND(MIN((G24*E24),(0.5*(H24*G24))),2)</f>
        <v>0</v>
      </c>
    </row>
    <row r="25" spans="2:12" x14ac:dyDescent="0.25">
      <c r="B25" s="22" t="s">
        <v>39</v>
      </c>
      <c r="C25" s="55"/>
      <c r="D25" s="68">
        <f>INDEX('Measure Assumptions'!$P$3:$P$26,MATCH('Submission Form'!$B25,'Measure Assumptions'!$D$3:$D$26,0),0)</f>
        <v>7.4999999999999997E-3</v>
      </c>
      <c r="E25" s="56">
        <f>INDEX('Measure Assumptions'!$R$3:$R$26,MATCH('Submission Form'!$B25,'Measure Assumptions'!$D$3:$D$26,0),0)</f>
        <v>4</v>
      </c>
      <c r="F25" s="57" t="s">
        <v>38</v>
      </c>
      <c r="G25" s="37"/>
      <c r="H25" s="38"/>
      <c r="I25" s="120"/>
      <c r="K25" s="69">
        <f t="shared" si="0"/>
        <v>0</v>
      </c>
      <c r="L25" s="70">
        <f t="shared" si="1"/>
        <v>0</v>
      </c>
    </row>
    <row r="26" spans="2:12" x14ac:dyDescent="0.25">
      <c r="B26" s="22" t="s">
        <v>40</v>
      </c>
      <c r="C26" s="55"/>
      <c r="D26" s="68">
        <f>INDEX('Measure Assumptions'!$P$3:$P$26,MATCH('Submission Form'!$B26,'Measure Assumptions'!$D$3:$D$26,0),0)</f>
        <v>1.1045000000000001E-2</v>
      </c>
      <c r="E26" s="56">
        <f>INDEX('Measure Assumptions'!$R$3:$R$26,MATCH('Submission Form'!$B26,'Measure Assumptions'!$D$3:$D$26,0),0)</f>
        <v>4</v>
      </c>
      <c r="F26" s="57" t="s">
        <v>38</v>
      </c>
      <c r="G26" s="37"/>
      <c r="H26" s="38"/>
      <c r="I26" s="120"/>
      <c r="K26" s="69">
        <f t="shared" si="0"/>
        <v>0</v>
      </c>
      <c r="L26" s="70">
        <f t="shared" si="1"/>
        <v>0</v>
      </c>
    </row>
    <row r="27" spans="2:12" x14ac:dyDescent="0.25">
      <c r="B27" s="22" t="s">
        <v>41</v>
      </c>
      <c r="C27" s="55"/>
      <c r="D27" s="68">
        <f>INDEX('Measure Assumptions'!$P$3:$P$26,MATCH('Submission Form'!$B27,'Measure Assumptions'!$D$3:$D$26,0),0)</f>
        <v>3.4200000000000001E-2</v>
      </c>
      <c r="E27" s="56">
        <f>INDEX('Measure Assumptions'!$R$3:$R$26,MATCH('Submission Form'!$B27,'Measure Assumptions'!$D$3:$D$26,0),0)</f>
        <v>6</v>
      </c>
      <c r="F27" s="57" t="s">
        <v>38</v>
      </c>
      <c r="G27" s="37"/>
      <c r="H27" s="38"/>
      <c r="I27" s="120"/>
      <c r="K27" s="69">
        <f t="shared" si="0"/>
        <v>0</v>
      </c>
      <c r="L27" s="70">
        <f t="shared" si="1"/>
        <v>0</v>
      </c>
    </row>
    <row r="28" spans="2:12" x14ac:dyDescent="0.25">
      <c r="B28" s="22" t="s">
        <v>42</v>
      </c>
      <c r="C28" s="55"/>
      <c r="D28" s="68">
        <f>INDEX('Measure Assumptions'!$P$3:$P$26,MATCH('Submission Form'!$B28,'Measure Assumptions'!$D$3:$D$26,0),0)</f>
        <v>3.0499999999999999E-2</v>
      </c>
      <c r="E28" s="56">
        <f>INDEX('Measure Assumptions'!$R$3:$R$26,MATCH('Submission Form'!$B28,'Measure Assumptions'!$D$3:$D$26,0),0)</f>
        <v>8</v>
      </c>
      <c r="F28" s="57" t="s">
        <v>38</v>
      </c>
      <c r="G28" s="37"/>
      <c r="H28" s="38"/>
      <c r="I28" s="120"/>
      <c r="K28" s="69">
        <f t="shared" ref="K28" si="2">D28*G28</f>
        <v>0</v>
      </c>
      <c r="L28" s="70">
        <f t="shared" ref="L28" si="3">ROUND(MIN((G28*E28),(0.5*(H28*G28))),2)</f>
        <v>0</v>
      </c>
    </row>
    <row r="29" spans="2:12" x14ac:dyDescent="0.25">
      <c r="B29" s="30" t="s">
        <v>43</v>
      </c>
      <c r="C29" s="55"/>
      <c r="D29" s="68">
        <f>INDEX('Measure Assumptions'!$P$3:$P$26,MATCH('Submission Form'!$B29,'Measure Assumptions'!$D$3:$D$26,0),0)</f>
        <v>2.767E-2</v>
      </c>
      <c r="E29" s="56">
        <f>INDEX('Measure Assumptions'!$R$3:$R$26,MATCH('Submission Form'!$B29,'Measure Assumptions'!$D$3:$D$26,0),0)</f>
        <v>5</v>
      </c>
      <c r="F29" s="57" t="s">
        <v>38</v>
      </c>
      <c r="G29" s="37"/>
      <c r="H29" s="38"/>
      <c r="I29" s="120"/>
      <c r="K29" s="69">
        <f t="shared" ref="K29:K30" si="4">D29*G29</f>
        <v>0</v>
      </c>
      <c r="L29" s="70">
        <f t="shared" ref="L29:L36" si="5">ROUND(MIN((G29*E29),(0.5*(H29*G29))),2)</f>
        <v>0</v>
      </c>
    </row>
    <row r="30" spans="2:12" x14ac:dyDescent="0.25">
      <c r="B30" s="30" t="s">
        <v>44</v>
      </c>
      <c r="C30" s="55"/>
      <c r="D30" s="68">
        <f>INDEX('Measure Assumptions'!$P$3:$P$26,MATCH('Submission Form'!$B30,'Measure Assumptions'!$D$3:$D$26,0),0)</f>
        <v>0.101785</v>
      </c>
      <c r="E30" s="56">
        <f>INDEX('Measure Assumptions'!$R$3:$R$26,MATCH('Submission Form'!$B30,'Measure Assumptions'!$D$3:$D$26,0),0)</f>
        <v>19</v>
      </c>
      <c r="F30" s="57" t="s">
        <v>38</v>
      </c>
      <c r="G30" s="37"/>
      <c r="H30" s="38"/>
      <c r="I30" s="120"/>
      <c r="K30" s="69">
        <f t="shared" si="4"/>
        <v>0</v>
      </c>
      <c r="L30" s="70">
        <f t="shared" si="5"/>
        <v>0</v>
      </c>
    </row>
    <row r="31" spans="2:12" x14ac:dyDescent="0.25">
      <c r="B31" s="30" t="s">
        <v>45</v>
      </c>
      <c r="C31" s="55"/>
      <c r="D31" s="68">
        <f>INDEX('Measure Assumptions'!$P$3:$P$26,MATCH('Submission Form'!$B31,'Measure Assumptions'!$D$3:$D$26,0),0)</f>
        <v>8.9950000000000002E-2</v>
      </c>
      <c r="E31" s="56">
        <f>INDEX('Measure Assumptions'!$R$3:$R$26,MATCH('Submission Form'!$B31,'Measure Assumptions'!$D$3:$D$26,0),0)</f>
        <v>17</v>
      </c>
      <c r="F31" s="57" t="s">
        <v>38</v>
      </c>
      <c r="G31" s="37"/>
      <c r="H31" s="38"/>
      <c r="I31" s="120"/>
      <c r="K31" s="69">
        <f>D31*G31</f>
        <v>0</v>
      </c>
      <c r="L31" s="70">
        <f t="shared" si="5"/>
        <v>0</v>
      </c>
    </row>
    <row r="32" spans="2:12" x14ac:dyDescent="0.25">
      <c r="B32" s="30" t="s">
        <v>46</v>
      </c>
      <c r="C32" s="58"/>
      <c r="D32" s="72">
        <f>INDEX('Measure Assumptions'!$P$3:$P$26,MATCH('Submission Form'!$B32,'Measure Assumptions'!$D$3:$D$26,0),0)</f>
        <v>0.1225</v>
      </c>
      <c r="E32" s="59">
        <f>INDEX('Measure Assumptions'!$R$3:$R$26,MATCH('Submission Form'!$B32,'Measure Assumptions'!$D$3:$D$26,0),0)</f>
        <v>26</v>
      </c>
      <c r="F32" s="60" t="s">
        <v>38</v>
      </c>
      <c r="G32" s="37"/>
      <c r="H32" s="38"/>
      <c r="I32" s="120"/>
      <c r="K32" s="69">
        <f>D32*G32</f>
        <v>0</v>
      </c>
      <c r="L32" s="70">
        <f t="shared" si="5"/>
        <v>0</v>
      </c>
    </row>
    <row r="33" spans="2:12" x14ac:dyDescent="0.25">
      <c r="B33" s="30" t="s">
        <v>47</v>
      </c>
      <c r="C33" s="55"/>
      <c r="D33" s="68">
        <f>INDEX('Measure Assumptions'!$P$3:$P$26,MATCH('Submission Form'!$B33,'Measure Assumptions'!$D$3:$D$26,0),0)</f>
        <v>3.9149999999999997E-2</v>
      </c>
      <c r="E33" s="56">
        <f>INDEX('Measure Assumptions'!$R$3:$R$26,MATCH('Submission Form'!$B33,'Measure Assumptions'!$D$3:$D$26,0),0)</f>
        <v>7</v>
      </c>
      <c r="F33" s="73" t="s">
        <v>38</v>
      </c>
      <c r="G33" s="41"/>
      <c r="H33" s="38"/>
      <c r="I33" s="120"/>
      <c r="K33" s="69">
        <f t="shared" ref="K33:K36" si="6">D33*G33</f>
        <v>0</v>
      </c>
      <c r="L33" s="70">
        <f t="shared" si="5"/>
        <v>0</v>
      </c>
    </row>
    <row r="34" spans="2:12" x14ac:dyDescent="0.25">
      <c r="B34" s="30" t="s">
        <v>48</v>
      </c>
      <c r="C34" s="61"/>
      <c r="D34" s="68">
        <f>INDEX('Measure Assumptions'!$P$3:$P$26,MATCH('Submission Form'!$B34,'Measure Assumptions'!$D$3:$D$26,0),0)</f>
        <v>0.12050000000000001</v>
      </c>
      <c r="E34" s="56">
        <f>INDEX('Measure Assumptions'!$R$3:$R$26,MATCH('Submission Form'!$B34,'Measure Assumptions'!$D$3:$D$26,0),0)</f>
        <v>23</v>
      </c>
      <c r="F34" s="74" t="s">
        <v>38</v>
      </c>
      <c r="G34" s="41"/>
      <c r="H34" s="38"/>
      <c r="I34" s="120"/>
      <c r="K34" s="69">
        <f t="shared" ref="K34" si="7">D34*G34</f>
        <v>0</v>
      </c>
      <c r="L34" s="70">
        <f t="shared" si="5"/>
        <v>0</v>
      </c>
    </row>
    <row r="35" spans="2:12" x14ac:dyDescent="0.25">
      <c r="B35" s="30" t="s">
        <v>49</v>
      </c>
      <c r="C35" s="61"/>
      <c r="D35" s="75">
        <f>INDEX('Measure Assumptions'!$P$3:$P$26,MATCH('Submission Form'!$B35,'Measure Assumptions'!$D$3:$D$26,0),0)</f>
        <v>0.04</v>
      </c>
      <c r="E35" s="76">
        <f>INDEX('Measure Assumptions'!$R$3:$R$26,MATCH('Submission Form'!$B35,'Measure Assumptions'!$D$3:$D$26,0),0)</f>
        <v>8</v>
      </c>
      <c r="F35" s="77" t="s">
        <v>38</v>
      </c>
      <c r="G35" s="37"/>
      <c r="H35" s="38"/>
      <c r="I35" s="120"/>
      <c r="K35" s="69">
        <f t="shared" si="6"/>
        <v>0</v>
      </c>
      <c r="L35" s="70">
        <f t="shared" si="5"/>
        <v>0</v>
      </c>
    </row>
    <row r="36" spans="2:12" x14ac:dyDescent="0.25">
      <c r="B36" s="30" t="s">
        <v>50</v>
      </c>
      <c r="C36" s="55"/>
      <c r="D36" s="68">
        <f>INDEX('Measure Assumptions'!$P$3:$P$26,MATCH('Submission Form'!$B36,'Measure Assumptions'!$D$3:$D$26,0),0)</f>
        <v>0.1128</v>
      </c>
      <c r="E36" s="56">
        <f>INDEX('Measure Assumptions'!$R$3:$R$26,MATCH('Submission Form'!$B36,'Measure Assumptions'!$D$3:$D$26,0),0)</f>
        <v>21</v>
      </c>
      <c r="F36" s="57" t="s">
        <v>38</v>
      </c>
      <c r="G36" s="37"/>
      <c r="H36" s="38"/>
      <c r="I36" s="120"/>
      <c r="K36" s="69">
        <f t="shared" si="6"/>
        <v>0</v>
      </c>
      <c r="L36" s="70">
        <f t="shared" si="5"/>
        <v>0</v>
      </c>
    </row>
    <row r="37" spans="2:12" ht="4.9000000000000004" customHeight="1" x14ac:dyDescent="0.25"/>
    <row r="38" spans="2:12" ht="22.5" customHeight="1" x14ac:dyDescent="0.25">
      <c r="C38" s="115" t="s">
        <v>145</v>
      </c>
      <c r="D38" s="111"/>
      <c r="E38" s="56"/>
      <c r="F38" s="57"/>
      <c r="G38" s="112"/>
      <c r="H38" s="113"/>
      <c r="I38" s="112"/>
      <c r="J38" s="55"/>
      <c r="K38" s="114"/>
      <c r="L38" s="70"/>
    </row>
    <row r="39" spans="2:12" ht="4.9000000000000004" customHeight="1" x14ac:dyDescent="0.25"/>
    <row r="40" spans="2:12" x14ac:dyDescent="0.25">
      <c r="B40" s="50" t="s">
        <v>51</v>
      </c>
      <c r="C40" s="51"/>
      <c r="D40" s="51"/>
      <c r="E40" s="51"/>
      <c r="F40" s="51"/>
      <c r="G40" s="52"/>
      <c r="H40" s="52"/>
      <c r="I40" s="52"/>
      <c r="J40" s="52"/>
      <c r="K40" s="52"/>
      <c r="L40" s="118"/>
    </row>
    <row r="41" spans="2:12" ht="60" x14ac:dyDescent="0.25">
      <c r="B41" s="53" t="s">
        <v>29</v>
      </c>
      <c r="C41" s="53"/>
      <c r="D41" s="14" t="s">
        <v>30</v>
      </c>
      <c r="E41" s="14" t="s">
        <v>31</v>
      </c>
      <c r="F41" s="16"/>
      <c r="G41" s="14" t="s">
        <v>32</v>
      </c>
      <c r="H41" s="14" t="s">
        <v>33</v>
      </c>
      <c r="I41" s="54" t="s">
        <v>34</v>
      </c>
      <c r="J41" s="54"/>
      <c r="K41" s="14" t="s">
        <v>35</v>
      </c>
      <c r="L41" s="14" t="s">
        <v>36</v>
      </c>
    </row>
    <row r="42" spans="2:12" x14ac:dyDescent="0.25">
      <c r="B42" s="30" t="s">
        <v>52</v>
      </c>
      <c r="C42" s="55"/>
      <c r="D42" s="68">
        <f>INDEX('Measure Assumptions'!$P$3:$P$26,MATCH('Submission Form'!$B42,'Measure Assumptions'!$D$3:$D$26,0),0)</f>
        <v>0.46</v>
      </c>
      <c r="E42" s="56">
        <f>INDEX('Measure Assumptions'!$R$3:$R$26,MATCH('Submission Form'!$B42,'Measure Assumptions'!$D$3:$D$26,0),0)</f>
        <v>125</v>
      </c>
      <c r="F42" s="57" t="s">
        <v>38</v>
      </c>
      <c r="G42" s="37"/>
      <c r="H42" s="38"/>
      <c r="I42" s="120"/>
      <c r="K42" s="69">
        <f>D42*G42</f>
        <v>0</v>
      </c>
      <c r="L42" s="70">
        <f>ROUND(MIN((G42*E42),(0.5*(H42*G42))),2)</f>
        <v>0</v>
      </c>
    </row>
    <row r="43" spans="2:12" ht="4.9000000000000004" customHeight="1" x14ac:dyDescent="0.25"/>
    <row r="44" spans="2:12" ht="22.5" customHeight="1" x14ac:dyDescent="0.25">
      <c r="C44" s="115" t="s">
        <v>145</v>
      </c>
      <c r="D44" s="111"/>
      <c r="E44" s="56"/>
      <c r="F44" s="57"/>
      <c r="G44" s="112"/>
      <c r="H44" s="113"/>
      <c r="I44" s="112"/>
      <c r="J44" s="55"/>
      <c r="K44" s="114"/>
      <c r="L44" s="70"/>
    </row>
    <row r="45" spans="2:12" ht="4.9000000000000004" customHeight="1" x14ac:dyDescent="0.25"/>
    <row r="46" spans="2:12" x14ac:dyDescent="0.25">
      <c r="B46" s="50" t="s">
        <v>53</v>
      </c>
      <c r="C46" s="51"/>
      <c r="D46" s="51"/>
      <c r="E46" s="51"/>
      <c r="F46" s="51"/>
      <c r="G46" s="52"/>
      <c r="H46" s="52"/>
      <c r="I46" s="52"/>
      <c r="J46" s="52"/>
      <c r="K46" s="52"/>
      <c r="L46" s="118"/>
    </row>
    <row r="47" spans="2:12" ht="60" x14ac:dyDescent="0.25">
      <c r="B47" s="53" t="s">
        <v>29</v>
      </c>
      <c r="C47" s="53"/>
      <c r="D47" s="14" t="s">
        <v>30</v>
      </c>
      <c r="E47" s="14" t="s">
        <v>31</v>
      </c>
      <c r="F47" s="16"/>
      <c r="G47" s="14" t="s">
        <v>32</v>
      </c>
      <c r="H47" s="14" t="s">
        <v>33</v>
      </c>
      <c r="I47" s="54" t="s">
        <v>34</v>
      </c>
      <c r="J47" s="54"/>
      <c r="K47" s="14" t="s">
        <v>35</v>
      </c>
      <c r="L47" s="14" t="s">
        <v>36</v>
      </c>
    </row>
    <row r="48" spans="2:12" x14ac:dyDescent="0.25">
      <c r="B48" s="30" t="s">
        <v>54</v>
      </c>
      <c r="C48" s="55"/>
      <c r="D48" s="68">
        <f>INDEX('Measure Assumptions'!$P$3:$P$26,MATCH('Submission Form'!$B48,'Measure Assumptions'!$D$3:$D$26,0),0)</f>
        <v>1.35E-2</v>
      </c>
      <c r="E48" s="56">
        <f>INDEX('Measure Assumptions'!$R$3:$R$26,MATCH('Submission Form'!$B48,'Measure Assumptions'!$D$3:$D$26,0),0)</f>
        <v>3</v>
      </c>
      <c r="F48" s="57" t="s">
        <v>38</v>
      </c>
      <c r="G48" s="37"/>
      <c r="H48" s="38"/>
      <c r="I48" s="120"/>
      <c r="K48" s="69">
        <f t="shared" ref="K48:K49" si="8">D48*G48</f>
        <v>0</v>
      </c>
      <c r="L48" s="70">
        <f>ROUND(MIN((G48*E48),(0.5*(H48*G48))),2)</f>
        <v>0</v>
      </c>
    </row>
    <row r="49" spans="2:12" x14ac:dyDescent="0.25">
      <c r="B49" s="30" t="s">
        <v>55</v>
      </c>
      <c r="C49" s="55"/>
      <c r="D49" s="68">
        <f>INDEX('Measure Assumptions'!$P$3:$P$26,MATCH('Submission Form'!$B49,'Measure Assumptions'!$D$3:$D$26,0),0)</f>
        <v>0.03</v>
      </c>
      <c r="E49" s="56">
        <f>INDEX('Measure Assumptions'!$R$3:$R$26,MATCH('Submission Form'!$B49,'Measure Assumptions'!$D$3:$D$26,0),0)</f>
        <v>8</v>
      </c>
      <c r="F49" s="57" t="s">
        <v>38</v>
      </c>
      <c r="G49" s="37"/>
      <c r="H49" s="38"/>
      <c r="I49" s="120"/>
      <c r="K49" s="69">
        <f t="shared" si="8"/>
        <v>0</v>
      </c>
      <c r="L49" s="70">
        <f>ROUND(MIN((G49*E49),(0.5*(H49*G49))),2)</f>
        <v>0</v>
      </c>
    </row>
    <row r="50" spans="2:12" ht="2.65" customHeight="1" x14ac:dyDescent="0.25"/>
    <row r="51" spans="2:12" ht="14.45" customHeight="1" x14ac:dyDescent="0.25"/>
    <row r="52" spans="2:12" ht="14.45" customHeight="1" x14ac:dyDescent="0.25">
      <c r="H52" s="78" t="s">
        <v>147</v>
      </c>
      <c r="I52" s="79"/>
      <c r="J52" s="79"/>
      <c r="K52" s="80"/>
    </row>
    <row r="53" spans="2:12" x14ac:dyDescent="0.25">
      <c r="B53" s="81"/>
      <c r="H53" s="82" t="s">
        <v>56</v>
      </c>
      <c r="I53" s="83"/>
      <c r="J53" s="84"/>
      <c r="K53" s="85">
        <f>SUM(K20:K20,K24:K36,K48:K49,K42)</f>
        <v>0</v>
      </c>
    </row>
    <row r="54" spans="2:12" x14ac:dyDescent="0.25">
      <c r="B54" s="81"/>
      <c r="H54" s="86" t="s">
        <v>57</v>
      </c>
      <c r="I54" s="87"/>
      <c r="J54" s="88"/>
      <c r="K54" s="89">
        <f>MIN(SUM(L20:L20,L24:L36,L42,L48:L49),20000)</f>
        <v>0</v>
      </c>
    </row>
    <row r="55" spans="2:12" ht="14.45" customHeight="1" x14ac:dyDescent="0.25"/>
    <row r="56" spans="2:12" ht="4.9000000000000004" customHeight="1" x14ac:dyDescent="0.25"/>
    <row r="57" spans="2:12" ht="22.5" customHeight="1" x14ac:dyDescent="0.25">
      <c r="C57" s="115" t="s">
        <v>145</v>
      </c>
      <c r="D57" s="111"/>
      <c r="E57" s="56"/>
      <c r="F57" s="57"/>
      <c r="G57" s="112"/>
      <c r="H57" s="113"/>
      <c r="I57" s="112"/>
      <c r="J57" s="55"/>
      <c r="K57" s="114"/>
      <c r="L57" s="70"/>
    </row>
    <row r="58" spans="2:12" ht="4.9000000000000004" customHeight="1" x14ac:dyDescent="0.25"/>
    <row r="59" spans="2:12" x14ac:dyDescent="0.25">
      <c r="B59" s="50" t="s">
        <v>58</v>
      </c>
      <c r="C59" s="51"/>
      <c r="D59" s="51"/>
      <c r="E59" s="51"/>
      <c r="F59" s="51"/>
      <c r="G59" s="52"/>
      <c r="H59" s="52"/>
      <c r="I59" s="52"/>
      <c r="J59" s="52"/>
      <c r="K59" s="52"/>
      <c r="L59" s="118"/>
    </row>
    <row r="60" spans="2:12" ht="60" x14ac:dyDescent="0.25">
      <c r="B60" s="53" t="s">
        <v>29</v>
      </c>
      <c r="C60" s="53"/>
      <c r="D60" s="14" t="s">
        <v>30</v>
      </c>
      <c r="E60" s="14" t="s">
        <v>31</v>
      </c>
      <c r="F60" s="16"/>
      <c r="G60" s="14" t="s">
        <v>32</v>
      </c>
      <c r="H60" s="14" t="s">
        <v>33</v>
      </c>
      <c r="I60" s="54" t="s">
        <v>34</v>
      </c>
      <c r="J60" s="54"/>
      <c r="K60" s="14" t="s">
        <v>35</v>
      </c>
      <c r="L60" s="14" t="s">
        <v>36</v>
      </c>
    </row>
    <row r="61" spans="2:12" x14ac:dyDescent="0.25">
      <c r="B61" s="22" t="s">
        <v>59</v>
      </c>
      <c r="C61" s="55"/>
      <c r="D61" s="68">
        <f>INDEX('Measure Assumptions'!$P$3:$P$26,MATCH('Submission Form'!$B61,'Measure Assumptions'!$D$3:$D$26,0),0)</f>
        <v>0.12</v>
      </c>
      <c r="E61" s="56">
        <f>INDEX('Measure Assumptions'!$R$3:$R$26,MATCH('Submission Form'!$B61,'Measure Assumptions'!$D$3:$D$26,0),0)</f>
        <v>23</v>
      </c>
      <c r="F61" s="57" t="s">
        <v>38</v>
      </c>
      <c r="G61" s="37"/>
      <c r="H61" s="38"/>
      <c r="I61" s="120"/>
      <c r="K61" s="69">
        <f>D61*G61</f>
        <v>0</v>
      </c>
      <c r="L61" s="70">
        <f>ROUND(MIN((G61*E61),(0.5*(H61*G61))),2)</f>
        <v>0</v>
      </c>
    </row>
    <row r="62" spans="2:12" x14ac:dyDescent="0.25">
      <c r="B62" s="22" t="s">
        <v>60</v>
      </c>
      <c r="C62" s="55"/>
      <c r="D62" s="68">
        <f>INDEX('Measure Assumptions'!$P$3:$P$26,MATCH('Submission Form'!$B62,'Measure Assumptions'!$D$3:$D$26,0),0)</f>
        <v>0.02</v>
      </c>
      <c r="E62" s="56">
        <f>INDEX('Measure Assumptions'!$R$3:$R$26,MATCH('Submission Form'!$B62,'Measure Assumptions'!$D$3:$D$26,0),0)</f>
        <v>4</v>
      </c>
      <c r="F62" s="57" t="s">
        <v>38</v>
      </c>
      <c r="G62" s="37"/>
      <c r="H62" s="38"/>
      <c r="I62" s="120"/>
      <c r="K62" s="69">
        <f>D62*G62</f>
        <v>0</v>
      </c>
      <c r="L62" s="70">
        <f>ROUND(MIN((G62*E62),(0.5*(H62*G62))),2)</f>
        <v>0</v>
      </c>
    </row>
    <row r="63" spans="2:12" ht="4.9000000000000004" customHeight="1" x14ac:dyDescent="0.25"/>
    <row r="64" spans="2:12" ht="14.45" customHeight="1" x14ac:dyDescent="0.25"/>
    <row r="65" spans="2:12" ht="14.45" customHeight="1" x14ac:dyDescent="0.25">
      <c r="H65" s="78" t="s">
        <v>61</v>
      </c>
      <c r="I65" s="79"/>
      <c r="J65" s="79"/>
      <c r="K65" s="80"/>
    </row>
    <row r="66" spans="2:12" x14ac:dyDescent="0.25">
      <c r="B66" s="81"/>
      <c r="H66" s="82" t="s">
        <v>56</v>
      </c>
      <c r="I66" s="83"/>
      <c r="J66" s="84"/>
      <c r="K66" s="85">
        <f>SUM(K61:K62)</f>
        <v>0</v>
      </c>
    </row>
    <row r="67" spans="2:12" x14ac:dyDescent="0.25">
      <c r="B67" s="81"/>
      <c r="H67" s="86" t="s">
        <v>57</v>
      </c>
      <c r="I67" s="87"/>
      <c r="J67" s="88"/>
      <c r="K67" s="89">
        <f>MIN(SUM(L61:L62),3000)</f>
        <v>0</v>
      </c>
    </row>
    <row r="68" spans="2:12" ht="4.9000000000000004" customHeight="1" x14ac:dyDescent="0.25"/>
    <row r="69" spans="2:12" ht="22.5" customHeight="1" x14ac:dyDescent="0.25">
      <c r="C69" s="115" t="s">
        <v>145</v>
      </c>
      <c r="D69" s="111"/>
      <c r="E69" s="56"/>
      <c r="F69" s="57"/>
      <c r="G69" s="112"/>
      <c r="H69" s="113"/>
      <c r="I69" s="112"/>
      <c r="J69" s="55"/>
      <c r="K69" s="114"/>
      <c r="L69" s="70"/>
    </row>
    <row r="70" spans="2:12" ht="14.45" customHeight="1" x14ac:dyDescent="0.25"/>
    <row r="71" spans="2:12" x14ac:dyDescent="0.25">
      <c r="B71" s="50" t="s">
        <v>62</v>
      </c>
      <c r="C71" s="51"/>
      <c r="D71" s="51"/>
      <c r="E71" s="51"/>
      <c r="F71" s="51"/>
      <c r="G71" s="52"/>
      <c r="H71" s="52"/>
      <c r="I71" s="52"/>
      <c r="J71" s="52"/>
      <c r="K71" s="52"/>
      <c r="L71" s="118"/>
    </row>
    <row r="72" spans="2:12" ht="60" x14ac:dyDescent="0.25">
      <c r="B72" s="53" t="s">
        <v>29</v>
      </c>
      <c r="C72" s="53"/>
      <c r="D72" s="14" t="s">
        <v>30</v>
      </c>
      <c r="E72" s="14" t="s">
        <v>31</v>
      </c>
      <c r="F72" s="16"/>
      <c r="G72" s="14" t="s">
        <v>32</v>
      </c>
      <c r="H72" s="14" t="s">
        <v>33</v>
      </c>
      <c r="I72" s="54" t="s">
        <v>34</v>
      </c>
      <c r="J72" s="54"/>
      <c r="K72" s="14" t="s">
        <v>35</v>
      </c>
      <c r="L72" s="14" t="s">
        <v>36</v>
      </c>
    </row>
    <row r="73" spans="2:12" x14ac:dyDescent="0.25">
      <c r="B73" s="22" t="s">
        <v>63</v>
      </c>
      <c r="C73" s="55"/>
      <c r="D73" s="68">
        <f>INDEX('Measure Assumptions'!$P$3:$P$26,MATCH('Submission Form'!$B73,'Measure Assumptions'!$D$3:$D$26,0),0)</f>
        <v>0.95</v>
      </c>
      <c r="E73" s="56">
        <f>INDEX('Measure Assumptions'!$R$3:$R$26,MATCH('Submission Form'!$B73,'Measure Assumptions'!$D$3:$D$26,0),0)</f>
        <v>238</v>
      </c>
      <c r="F73" s="57" t="s">
        <v>38</v>
      </c>
      <c r="G73" s="37"/>
      <c r="H73" s="38"/>
      <c r="I73" s="120"/>
      <c r="K73" s="69">
        <f>D73*G73</f>
        <v>0</v>
      </c>
      <c r="L73" s="70">
        <f>ROUND(MIN((G73*E73),(0.25*(H73*G73))),2)</f>
        <v>0</v>
      </c>
    </row>
    <row r="74" spans="2:12" x14ac:dyDescent="0.25">
      <c r="B74" s="22" t="s">
        <v>64</v>
      </c>
      <c r="C74" s="55"/>
      <c r="D74" s="68">
        <f>INDEX('Measure Assumptions'!$P$3:$P$26,MATCH('Submission Form'!$B74,'Measure Assumptions'!$D$3:$D$26,0),0)</f>
        <v>0.4</v>
      </c>
      <c r="E74" s="56">
        <f>INDEX('Measure Assumptions'!$R$3:$R$26,MATCH('Submission Form'!$B74,'Measure Assumptions'!$D$3:$D$26,0),0)</f>
        <v>100</v>
      </c>
      <c r="F74" s="57" t="s">
        <v>38</v>
      </c>
      <c r="G74" s="37"/>
      <c r="H74" s="38"/>
      <c r="I74" s="120"/>
      <c r="K74" s="69">
        <f t="shared" ref="K74:K78" si="9">D74*G74</f>
        <v>0</v>
      </c>
      <c r="L74" s="70">
        <f t="shared" ref="L74:L78" si="10">ROUND(MIN((G74*E74),(0.25*(H74*G74))),2)</f>
        <v>0</v>
      </c>
    </row>
    <row r="75" spans="2:12" x14ac:dyDescent="0.25">
      <c r="B75" s="30" t="s">
        <v>65</v>
      </c>
      <c r="C75" s="55"/>
      <c r="D75" s="68">
        <f>INDEX('Measure Assumptions'!$P$3:$P$26,MATCH('Submission Form'!$B75,'Measure Assumptions'!$D$3:$D$26,0),0)</f>
        <v>0.26</v>
      </c>
      <c r="E75" s="56">
        <f>INDEX('Measure Assumptions'!$R$3:$R$26,MATCH('Submission Form'!$B75,'Measure Assumptions'!$D$3:$D$26,0),0)</f>
        <v>65</v>
      </c>
      <c r="F75" s="57" t="s">
        <v>38</v>
      </c>
      <c r="G75" s="37"/>
      <c r="H75" s="38"/>
      <c r="I75" s="120"/>
      <c r="K75" s="69">
        <f t="shared" si="9"/>
        <v>0</v>
      </c>
      <c r="L75" s="70">
        <f t="shared" si="10"/>
        <v>0</v>
      </c>
    </row>
    <row r="76" spans="2:12" x14ac:dyDescent="0.25">
      <c r="B76" s="30" t="s">
        <v>66</v>
      </c>
      <c r="C76" s="55"/>
      <c r="D76" s="68">
        <f>INDEX('Measure Assumptions'!$P$3:$P$26,MATCH('Submission Form'!$B76,'Measure Assumptions'!$D$3:$D$26,0),0)</f>
        <v>0.16</v>
      </c>
      <c r="E76" s="56">
        <f>INDEX('Measure Assumptions'!$R$3:$R$26,MATCH('Submission Form'!$B76,'Measure Assumptions'!$D$3:$D$26,0),0)</f>
        <v>40</v>
      </c>
      <c r="F76" s="57" t="s">
        <v>38</v>
      </c>
      <c r="G76" s="37"/>
      <c r="H76" s="38"/>
      <c r="I76" s="120"/>
      <c r="K76" s="69">
        <f t="shared" si="9"/>
        <v>0</v>
      </c>
      <c r="L76" s="70">
        <f t="shared" si="10"/>
        <v>0</v>
      </c>
    </row>
    <row r="77" spans="2:12" x14ac:dyDescent="0.25">
      <c r="B77" s="30" t="s">
        <v>67</v>
      </c>
      <c r="C77" s="55"/>
      <c r="D77" s="68">
        <f>INDEX('Measure Assumptions'!$P$3:$P$26,MATCH('Submission Form'!$B77,'Measure Assumptions'!$D$3:$D$26,0),0)</f>
        <v>0.11</v>
      </c>
      <c r="E77" s="56">
        <f>INDEX('Measure Assumptions'!$R$3:$R$26,MATCH('Submission Form'!$B77,'Measure Assumptions'!$D$3:$D$26,0),0)</f>
        <v>28</v>
      </c>
      <c r="F77" s="57" t="s">
        <v>38</v>
      </c>
      <c r="G77" s="37"/>
      <c r="H77" s="38"/>
      <c r="I77" s="120"/>
      <c r="K77" s="69">
        <f t="shared" si="9"/>
        <v>0</v>
      </c>
      <c r="L77" s="70">
        <f t="shared" si="10"/>
        <v>0</v>
      </c>
    </row>
    <row r="78" spans="2:12" x14ac:dyDescent="0.25">
      <c r="B78" s="30" t="s">
        <v>68</v>
      </c>
      <c r="C78" s="55"/>
      <c r="D78" s="68">
        <f>INDEX('Measure Assumptions'!$P$3:$P$26,MATCH('Submission Form'!$B78,'Measure Assumptions'!$D$3:$D$26,0),0)</f>
        <v>8.7999999999999995E-2</v>
      </c>
      <c r="E78" s="56">
        <f>INDEX('Measure Assumptions'!$R$3:$R$26,MATCH('Submission Form'!$B78,'Measure Assumptions'!$D$3:$D$26,0),0)</f>
        <v>22</v>
      </c>
      <c r="F78" s="57" t="s">
        <v>38</v>
      </c>
      <c r="G78" s="37"/>
      <c r="H78" s="38"/>
      <c r="I78" s="120"/>
      <c r="K78" s="69">
        <f t="shared" si="9"/>
        <v>0</v>
      </c>
      <c r="L78" s="70">
        <f t="shared" si="10"/>
        <v>0</v>
      </c>
    </row>
    <row r="79" spans="2:12" ht="4.9000000000000004" customHeight="1" x14ac:dyDescent="0.25"/>
    <row r="80" spans="2:12" ht="22.5" customHeight="1" x14ac:dyDescent="0.25">
      <c r="C80" s="115" t="s">
        <v>145</v>
      </c>
      <c r="D80" s="111"/>
      <c r="E80" s="56"/>
      <c r="F80" s="57"/>
      <c r="G80" s="112"/>
      <c r="H80" s="113"/>
      <c r="I80" s="112"/>
      <c r="J80" s="55"/>
      <c r="K80" s="114"/>
      <c r="L80" s="70"/>
    </row>
    <row r="81" spans="4:12" ht="4.9000000000000004" customHeight="1" x14ac:dyDescent="0.25"/>
    <row r="82" spans="4:12" ht="14.45" customHeight="1" x14ac:dyDescent="0.25"/>
    <row r="83" spans="4:12" ht="14.45" customHeight="1" x14ac:dyDescent="0.25">
      <c r="H83" s="78" t="s">
        <v>69</v>
      </c>
      <c r="I83" s="79"/>
      <c r="J83" s="79"/>
      <c r="K83" s="80"/>
    </row>
    <row r="84" spans="4:12" ht="18" customHeight="1" x14ac:dyDescent="0.25">
      <c r="H84" s="82" t="s">
        <v>56</v>
      </c>
      <c r="I84" s="83"/>
      <c r="J84" s="84"/>
      <c r="K84" s="85">
        <f>SUM(K73:K78)</f>
        <v>0</v>
      </c>
    </row>
    <row r="85" spans="4:12" x14ac:dyDescent="0.25">
      <c r="H85" s="86" t="s">
        <v>57</v>
      </c>
      <c r="I85" s="87"/>
      <c r="J85" s="88"/>
      <c r="K85" s="89">
        <f>MIN(SUM(L73:L78),20000)</f>
        <v>0</v>
      </c>
    </row>
    <row r="86" spans="4:12" ht="25.5" customHeight="1" x14ac:dyDescent="0.25">
      <c r="D86" s="90"/>
      <c r="E86" s="91"/>
      <c r="F86" s="92"/>
      <c r="G86" s="93"/>
      <c r="H86" s="94"/>
      <c r="I86" s="93"/>
      <c r="K86" s="95"/>
      <c r="L86" s="71"/>
    </row>
    <row r="87" spans="4:12" ht="13.5" customHeight="1" x14ac:dyDescent="0.25">
      <c r="D87" s="90"/>
      <c r="E87" s="91"/>
      <c r="F87" s="92"/>
      <c r="G87" s="93"/>
      <c r="H87" s="98"/>
      <c r="I87" s="97"/>
      <c r="K87" s="95"/>
      <c r="L87" s="71"/>
    </row>
    <row r="88" spans="4:12" ht="22.5" customHeight="1" x14ac:dyDescent="0.25">
      <c r="D88" s="90"/>
      <c r="E88" s="91"/>
      <c r="F88" s="92"/>
      <c r="G88" s="93"/>
      <c r="H88" s="98"/>
      <c r="I88" s="97"/>
      <c r="K88" s="95"/>
      <c r="L88" s="71"/>
    </row>
    <row r="89" spans="4:12" ht="21" customHeight="1" x14ac:dyDescent="0.25">
      <c r="D89" s="90"/>
      <c r="E89" s="91"/>
      <c r="F89" s="92"/>
      <c r="G89" s="93"/>
      <c r="H89" s="98"/>
      <c r="I89" s="97"/>
      <c r="K89" s="95"/>
      <c r="L89" s="71"/>
    </row>
    <row r="90" spans="4:12" ht="21" customHeight="1" x14ac:dyDescent="0.25">
      <c r="D90" s="90"/>
      <c r="E90" s="91"/>
      <c r="F90" s="92"/>
      <c r="G90" s="93"/>
      <c r="H90" s="98"/>
      <c r="I90" s="97"/>
      <c r="K90" s="95"/>
      <c r="L90" s="71"/>
    </row>
    <row r="91" spans="4:12" ht="21" customHeight="1" x14ac:dyDescent="0.25">
      <c r="D91" s="90"/>
      <c r="E91" s="91"/>
      <c r="F91" s="92"/>
      <c r="G91" s="93"/>
      <c r="H91" s="98"/>
      <c r="I91" s="97"/>
      <c r="K91" s="95"/>
      <c r="L91" s="71"/>
    </row>
    <row r="92" spans="4:12" ht="21" customHeight="1" x14ac:dyDescent="0.25">
      <c r="D92" s="90"/>
      <c r="E92" s="91"/>
      <c r="F92" s="92"/>
      <c r="G92" s="93"/>
      <c r="H92" s="98"/>
      <c r="I92" s="97"/>
      <c r="K92" s="95"/>
      <c r="L92" s="71"/>
    </row>
    <row r="93" spans="4:12" ht="21" customHeight="1" x14ac:dyDescent="0.25">
      <c r="D93" s="90"/>
      <c r="E93" s="91"/>
      <c r="F93" s="92"/>
      <c r="G93" s="93"/>
      <c r="H93" s="98"/>
      <c r="I93" s="97"/>
      <c r="K93" s="95"/>
      <c r="L93" s="71"/>
    </row>
    <row r="94" spans="4:12" ht="21" customHeight="1" x14ac:dyDescent="0.25">
      <c r="D94" s="90"/>
      <c r="E94" s="91"/>
      <c r="F94" s="92"/>
      <c r="G94" s="93"/>
      <c r="H94" s="98"/>
      <c r="I94" s="97"/>
      <c r="K94" s="95"/>
      <c r="L94" s="71"/>
    </row>
    <row r="95" spans="4:12" ht="21" customHeight="1" x14ac:dyDescent="0.25">
      <c r="D95" s="90"/>
      <c r="E95" s="91"/>
      <c r="F95" s="92"/>
      <c r="G95" s="97"/>
      <c r="H95" s="98"/>
      <c r="I95" s="97"/>
      <c r="K95" s="95"/>
      <c r="L95" s="71"/>
    </row>
    <row r="96" spans="4:12" ht="21" customHeight="1" x14ac:dyDescent="0.25">
      <c r="G96" s="99"/>
      <c r="H96" s="99"/>
      <c r="I96" s="99"/>
    </row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</sheetData>
  <printOptions horizontalCentered="1"/>
  <pageMargins left="0.25" right="0.25" top="0.75" bottom="0.75" header="0.3" footer="0.3"/>
  <pageSetup scale="70" orientation="landscape" r:id="rId1"/>
  <headerFooter>
    <oddFooter>&amp;LPre-Authorized Comm. Lighting&amp;RPage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B2:AJ35"/>
  <sheetViews>
    <sheetView zoomScaleNormal="100" workbookViewId="0">
      <pane xSplit="5" ySplit="2" topLeftCell="K3" activePane="bottomRight" state="frozen"/>
      <selection pane="topRight" activeCell="F1" sqref="F1"/>
      <selection pane="bottomLeft" activeCell="A3" sqref="A3"/>
      <selection pane="bottomRight" activeCell="R28" sqref="R28"/>
    </sheetView>
  </sheetViews>
  <sheetFormatPr defaultColWidth="8.85546875" defaultRowHeight="15" x14ac:dyDescent="0.25"/>
  <cols>
    <col min="1" max="1" width="3.28515625" style="1" customWidth="1"/>
    <col min="2" max="2" width="33.28515625" style="1" bestFit="1" customWidth="1"/>
    <col min="3" max="3" width="25.42578125" style="1" bestFit="1" customWidth="1"/>
    <col min="4" max="4" width="47.42578125" style="1" bestFit="1" customWidth="1"/>
    <col min="5" max="5" width="17.140625" style="1" hidden="1" customWidth="1"/>
    <col min="6" max="8" width="12.7109375" style="1" customWidth="1"/>
    <col min="9" max="9" width="2.28515625" style="1" customWidth="1"/>
    <col min="10" max="10" width="47.42578125" style="1" bestFit="1" customWidth="1"/>
    <col min="11" max="14" width="12.7109375" style="1" customWidth="1"/>
    <col min="15" max="15" width="3.28515625" style="1" customWidth="1"/>
    <col min="16" max="36" width="12.7109375" style="1" customWidth="1"/>
    <col min="37" max="16384" width="8.85546875" style="1"/>
  </cols>
  <sheetData>
    <row r="2" spans="2:36" ht="60" x14ac:dyDescent="0.25">
      <c r="B2" s="16" t="s">
        <v>70</v>
      </c>
      <c r="C2" s="16" t="s">
        <v>71</v>
      </c>
      <c r="D2" s="16" t="s">
        <v>72</v>
      </c>
      <c r="E2" s="16" t="s">
        <v>73</v>
      </c>
      <c r="F2" s="14" t="s">
        <v>74</v>
      </c>
      <c r="G2" s="14" t="s">
        <v>75</v>
      </c>
      <c r="H2" s="14" t="s">
        <v>76</v>
      </c>
      <c r="J2" s="16" t="s">
        <v>77</v>
      </c>
      <c r="K2" s="16" t="s">
        <v>73</v>
      </c>
      <c r="L2" s="14" t="s">
        <v>78</v>
      </c>
      <c r="M2" s="14" t="s">
        <v>79</v>
      </c>
      <c r="N2" s="14" t="s">
        <v>76</v>
      </c>
      <c r="P2" s="14" t="s">
        <v>80</v>
      </c>
      <c r="Q2" s="14" t="s">
        <v>81</v>
      </c>
      <c r="R2" s="14" t="s">
        <v>82</v>
      </c>
      <c r="S2" s="14" t="s">
        <v>83</v>
      </c>
      <c r="T2" s="14" t="s">
        <v>84</v>
      </c>
      <c r="U2" s="14" t="s">
        <v>85</v>
      </c>
      <c r="V2" s="14" t="s">
        <v>86</v>
      </c>
      <c r="W2" s="14" t="s">
        <v>87</v>
      </c>
      <c r="X2" s="14" t="s">
        <v>88</v>
      </c>
      <c r="Y2" s="14" t="s">
        <v>89</v>
      </c>
      <c r="Z2" s="14" t="s">
        <v>90</v>
      </c>
      <c r="AA2" s="14" t="s">
        <v>91</v>
      </c>
      <c r="AB2" s="14" t="s">
        <v>92</v>
      </c>
      <c r="AC2" s="14" t="s">
        <v>93</v>
      </c>
      <c r="AD2" s="14" t="s">
        <v>94</v>
      </c>
      <c r="AE2" s="14"/>
      <c r="AF2" s="14"/>
      <c r="AG2" s="14"/>
      <c r="AH2" s="14"/>
      <c r="AI2" s="14"/>
      <c r="AJ2" s="14"/>
    </row>
    <row r="3" spans="2:36" x14ac:dyDescent="0.25">
      <c r="B3" s="30" t="s">
        <v>95</v>
      </c>
      <c r="C3" s="30" t="s">
        <v>99</v>
      </c>
      <c r="D3" s="30" t="s">
        <v>43</v>
      </c>
      <c r="E3" s="26" t="s">
        <v>96</v>
      </c>
      <c r="F3" s="28">
        <v>13.22</v>
      </c>
      <c r="G3" s="23">
        <v>32.200000000000003</v>
      </c>
      <c r="H3" s="24"/>
      <c r="J3" s="30" t="s">
        <v>100</v>
      </c>
      <c r="K3" s="26" t="s">
        <v>101</v>
      </c>
      <c r="L3" s="28">
        <v>68.56</v>
      </c>
      <c r="M3" s="23">
        <v>1.25</v>
      </c>
      <c r="N3" s="24"/>
      <c r="P3" s="33">
        <f t="shared" ref="P3:P15" si="0">(L3-F3)/1000*0.5</f>
        <v>2.767E-2</v>
      </c>
      <c r="Q3" s="34">
        <v>187.5</v>
      </c>
      <c r="R3" s="35">
        <f t="shared" ref="R3:R26" si="1">ROUND(P3*Q3,0)</f>
        <v>5</v>
      </c>
      <c r="S3" s="23">
        <f t="shared" ref="S3:S26" si="2">+G3-M3</f>
        <v>30.950000000000003</v>
      </c>
      <c r="T3" s="36">
        <f t="shared" ref="T3:T26" si="3">+R3/S3</f>
        <v>0.16155088852988689</v>
      </c>
      <c r="U3" s="36">
        <f t="shared" ref="U3:U26" si="4">+R3/G3</f>
        <v>0.15527950310559005</v>
      </c>
      <c r="V3" s="32">
        <v>7.8289999999999998E-2</v>
      </c>
    </row>
    <row r="4" spans="2:36" x14ac:dyDescent="0.25">
      <c r="B4" s="30" t="s">
        <v>95</v>
      </c>
      <c r="C4" s="30" t="s">
        <v>102</v>
      </c>
      <c r="D4" s="30" t="s">
        <v>44</v>
      </c>
      <c r="E4" s="26" t="s">
        <v>103</v>
      </c>
      <c r="F4" s="28">
        <v>25</v>
      </c>
      <c r="G4" s="23">
        <v>83.55</v>
      </c>
      <c r="H4" s="24"/>
      <c r="J4" s="30" t="s">
        <v>104</v>
      </c>
      <c r="K4" s="26" t="s">
        <v>101</v>
      </c>
      <c r="L4" s="28">
        <v>228.57</v>
      </c>
      <c r="M4" s="23">
        <v>3</v>
      </c>
      <c r="N4" s="24"/>
      <c r="P4" s="33">
        <f t="shared" si="0"/>
        <v>0.101785</v>
      </c>
      <c r="Q4" s="34">
        <v>187.5</v>
      </c>
      <c r="R4" s="35">
        <f t="shared" si="1"/>
        <v>19</v>
      </c>
      <c r="S4" s="23">
        <f t="shared" si="2"/>
        <v>80.55</v>
      </c>
      <c r="T4" s="36">
        <f t="shared" si="3"/>
        <v>0.23587833643699566</v>
      </c>
      <c r="U4" s="36">
        <f t="shared" si="4"/>
        <v>0.22740873728306404</v>
      </c>
      <c r="V4" s="32">
        <v>7.8289999999999998E-2</v>
      </c>
    </row>
    <row r="5" spans="2:36" x14ac:dyDescent="0.25">
      <c r="B5" s="30" t="s">
        <v>95</v>
      </c>
      <c r="C5" s="30" t="s">
        <v>105</v>
      </c>
      <c r="D5" s="30" t="s">
        <v>37</v>
      </c>
      <c r="E5" s="26" t="s">
        <v>103</v>
      </c>
      <c r="F5" s="28">
        <v>37</v>
      </c>
      <c r="G5" s="23">
        <v>90.43</v>
      </c>
      <c r="H5" s="24"/>
      <c r="J5" s="30" t="s">
        <v>106</v>
      </c>
      <c r="K5" s="26" t="s">
        <v>98</v>
      </c>
      <c r="L5" s="28">
        <v>56.3</v>
      </c>
      <c r="M5" s="23">
        <v>60.13</v>
      </c>
      <c r="N5" s="24"/>
      <c r="P5" s="33">
        <f t="shared" si="0"/>
        <v>9.6499999999999989E-3</v>
      </c>
      <c r="Q5" s="34">
        <v>375</v>
      </c>
      <c r="R5" s="35">
        <f t="shared" si="1"/>
        <v>4</v>
      </c>
      <c r="S5" s="23">
        <f t="shared" si="2"/>
        <v>30.300000000000004</v>
      </c>
      <c r="T5" s="36">
        <f t="shared" si="3"/>
        <v>0.132013201320132</v>
      </c>
      <c r="U5" s="36">
        <f t="shared" si="4"/>
        <v>4.4233108481698549E-2</v>
      </c>
      <c r="V5" s="32">
        <v>7.8289999999999998E-2</v>
      </c>
    </row>
    <row r="6" spans="2:36" x14ac:dyDescent="0.25">
      <c r="B6" s="30" t="s">
        <v>95</v>
      </c>
      <c r="C6" s="30" t="s">
        <v>107</v>
      </c>
      <c r="D6" s="22" t="s">
        <v>39</v>
      </c>
      <c r="E6" s="26" t="s">
        <v>103</v>
      </c>
      <c r="F6" s="28">
        <v>40</v>
      </c>
      <c r="G6" s="23">
        <v>136.41</v>
      </c>
      <c r="H6" s="30"/>
      <c r="J6" s="30" t="s">
        <v>108</v>
      </c>
      <c r="K6" s="26" t="s">
        <v>98</v>
      </c>
      <c r="L6" s="28">
        <v>55</v>
      </c>
      <c r="M6" s="23">
        <v>113.89</v>
      </c>
      <c r="N6" s="30"/>
      <c r="P6" s="33">
        <f t="shared" si="0"/>
        <v>7.4999999999999997E-3</v>
      </c>
      <c r="Q6" s="34">
        <v>487.5</v>
      </c>
      <c r="R6" s="35">
        <f t="shared" si="1"/>
        <v>4</v>
      </c>
      <c r="S6" s="23">
        <f t="shared" si="2"/>
        <v>22.519999999999996</v>
      </c>
      <c r="T6" s="36">
        <f t="shared" si="3"/>
        <v>0.17761989342806397</v>
      </c>
      <c r="U6" s="36">
        <f t="shared" si="4"/>
        <v>2.932336338978081E-2</v>
      </c>
      <c r="V6" s="32">
        <v>7.8289999999999998E-2</v>
      </c>
    </row>
    <row r="7" spans="2:36" x14ac:dyDescent="0.25">
      <c r="B7" s="30" t="s">
        <v>95</v>
      </c>
      <c r="C7" s="30" t="s">
        <v>107</v>
      </c>
      <c r="D7" s="22" t="s">
        <v>40</v>
      </c>
      <c r="E7" s="26" t="s">
        <v>103</v>
      </c>
      <c r="F7" s="28">
        <v>32.909999999999997</v>
      </c>
      <c r="G7" s="23">
        <v>131.38</v>
      </c>
      <c r="H7" s="30"/>
      <c r="J7" s="30" t="s">
        <v>109</v>
      </c>
      <c r="K7" s="26" t="s">
        <v>98</v>
      </c>
      <c r="L7" s="28">
        <v>55</v>
      </c>
      <c r="M7" s="23">
        <v>107.12</v>
      </c>
      <c r="N7" s="30"/>
      <c r="P7" s="33">
        <f t="shared" si="0"/>
        <v>1.1045000000000001E-2</v>
      </c>
      <c r="Q7" s="34">
        <v>337.5</v>
      </c>
      <c r="R7" s="35">
        <f t="shared" si="1"/>
        <v>4</v>
      </c>
      <c r="S7" s="23">
        <f t="shared" si="2"/>
        <v>24.259999999999991</v>
      </c>
      <c r="T7" s="36">
        <f t="shared" si="3"/>
        <v>0.16488046166529272</v>
      </c>
      <c r="U7" s="36">
        <f t="shared" si="4"/>
        <v>3.0446034404018878E-2</v>
      </c>
      <c r="V7" s="32">
        <v>7.8289999999999998E-2</v>
      </c>
    </row>
    <row r="8" spans="2:36" x14ac:dyDescent="0.25">
      <c r="B8" s="30" t="s">
        <v>95</v>
      </c>
      <c r="C8" s="22" t="s">
        <v>107</v>
      </c>
      <c r="D8" s="22" t="s">
        <v>41</v>
      </c>
      <c r="E8" s="26" t="s">
        <v>103</v>
      </c>
      <c r="F8" s="28">
        <v>43.6</v>
      </c>
      <c r="G8" s="23">
        <v>151.01</v>
      </c>
      <c r="H8" s="30"/>
      <c r="J8" s="30" t="s">
        <v>110</v>
      </c>
      <c r="K8" s="26" t="s">
        <v>98</v>
      </c>
      <c r="L8" s="28">
        <v>112</v>
      </c>
      <c r="M8" s="23">
        <v>68.41</v>
      </c>
      <c r="N8" s="30"/>
      <c r="P8" s="33">
        <f t="shared" si="0"/>
        <v>3.4200000000000001E-2</v>
      </c>
      <c r="Q8" s="34">
        <v>187.5</v>
      </c>
      <c r="R8" s="35">
        <f t="shared" si="1"/>
        <v>6</v>
      </c>
      <c r="S8" s="23">
        <f t="shared" si="2"/>
        <v>82.6</v>
      </c>
      <c r="T8" s="36">
        <f t="shared" si="3"/>
        <v>7.2639225181598072E-2</v>
      </c>
      <c r="U8" s="36">
        <f t="shared" si="4"/>
        <v>3.9732468048473614E-2</v>
      </c>
      <c r="V8" s="32">
        <v>7.8289999999999998E-2</v>
      </c>
    </row>
    <row r="9" spans="2:36" x14ac:dyDescent="0.25">
      <c r="B9" s="30" t="s">
        <v>95</v>
      </c>
      <c r="C9" s="22" t="s">
        <v>107</v>
      </c>
      <c r="D9" s="22" t="s">
        <v>42</v>
      </c>
      <c r="E9" s="26"/>
      <c r="F9" s="28">
        <v>25</v>
      </c>
      <c r="G9" s="23">
        <v>45</v>
      </c>
      <c r="H9" s="30"/>
      <c r="J9" s="30" t="s">
        <v>97</v>
      </c>
      <c r="K9" s="26" t="s">
        <v>98</v>
      </c>
      <c r="L9" s="28">
        <v>86</v>
      </c>
      <c r="M9" s="23">
        <v>25</v>
      </c>
      <c r="N9" s="30"/>
      <c r="P9" s="33">
        <f t="shared" si="0"/>
        <v>3.0499999999999999E-2</v>
      </c>
      <c r="Q9" s="34">
        <v>262.5</v>
      </c>
      <c r="R9" s="35">
        <f t="shared" ref="R9" si="5">ROUND(P9*Q9,0)</f>
        <v>8</v>
      </c>
      <c r="S9" s="23">
        <f t="shared" si="2"/>
        <v>20</v>
      </c>
      <c r="T9" s="36"/>
      <c r="U9" s="36"/>
      <c r="V9" s="32"/>
    </row>
    <row r="10" spans="2:36" x14ac:dyDescent="0.25">
      <c r="B10" s="30" t="s">
        <v>95</v>
      </c>
      <c r="C10" s="22" t="s">
        <v>111</v>
      </c>
      <c r="D10" s="22" t="s">
        <v>45</v>
      </c>
      <c r="E10" s="26" t="s">
        <v>103</v>
      </c>
      <c r="F10" s="28">
        <v>110.1</v>
      </c>
      <c r="G10" s="23">
        <v>163.47</v>
      </c>
      <c r="H10" s="30"/>
      <c r="J10" s="30" t="s">
        <v>112</v>
      </c>
      <c r="K10" s="26" t="s">
        <v>113</v>
      </c>
      <c r="L10" s="28">
        <v>290</v>
      </c>
      <c r="M10" s="23">
        <v>118.85</v>
      </c>
      <c r="N10" s="30"/>
      <c r="P10" s="33">
        <f t="shared" si="0"/>
        <v>8.9950000000000002E-2</v>
      </c>
      <c r="Q10" s="34">
        <v>187.5</v>
      </c>
      <c r="R10" s="35">
        <f t="shared" ref="R10:R11" si="6">ROUND(P10*Q10,0)</f>
        <v>17</v>
      </c>
      <c r="S10" s="23">
        <f t="shared" ref="S10" si="7">+G10-M10</f>
        <v>44.620000000000005</v>
      </c>
      <c r="T10" s="36">
        <f t="shared" ref="T10" si="8">+R10/S10</f>
        <v>0.38099506947557144</v>
      </c>
      <c r="U10" s="36">
        <f t="shared" ref="U10" si="9">+R10/G10</f>
        <v>0.10399461674925063</v>
      </c>
      <c r="V10" s="32">
        <v>7.8289999999999998E-2</v>
      </c>
    </row>
    <row r="11" spans="2:36" x14ac:dyDescent="0.25">
      <c r="B11" s="30" t="s">
        <v>95</v>
      </c>
      <c r="C11" s="22" t="s">
        <v>111</v>
      </c>
      <c r="D11" s="22" t="s">
        <v>46</v>
      </c>
      <c r="E11" s="26" t="s">
        <v>103</v>
      </c>
      <c r="F11" s="28">
        <v>213</v>
      </c>
      <c r="G11" s="23">
        <v>383.14</v>
      </c>
      <c r="H11" s="30"/>
      <c r="J11" s="30" t="s">
        <v>114</v>
      </c>
      <c r="K11" s="26" t="s">
        <v>113</v>
      </c>
      <c r="L11" s="28">
        <v>458</v>
      </c>
      <c r="M11" s="23">
        <v>118.85</v>
      </c>
      <c r="N11" s="30"/>
      <c r="P11" s="33">
        <f t="shared" si="0"/>
        <v>0.1225</v>
      </c>
      <c r="Q11" s="34">
        <v>214.28571428571428</v>
      </c>
      <c r="R11" s="35">
        <f t="shared" si="6"/>
        <v>26</v>
      </c>
      <c r="S11" s="23">
        <f t="shared" si="2"/>
        <v>264.28999999999996</v>
      </c>
      <c r="T11" s="36">
        <f t="shared" si="3"/>
        <v>9.8376783079193328E-2</v>
      </c>
      <c r="U11" s="36">
        <f t="shared" si="4"/>
        <v>6.7860312157435931E-2</v>
      </c>
      <c r="V11" s="32">
        <v>7.8289999999999998E-2</v>
      </c>
    </row>
    <row r="12" spans="2:36" x14ac:dyDescent="0.25">
      <c r="B12" s="30" t="s">
        <v>95</v>
      </c>
      <c r="C12" s="22" t="s">
        <v>115</v>
      </c>
      <c r="D12" s="22" t="s">
        <v>47</v>
      </c>
      <c r="E12" s="26" t="s">
        <v>103</v>
      </c>
      <c r="F12" s="28">
        <v>24.7</v>
      </c>
      <c r="G12" s="23">
        <v>111.34</v>
      </c>
      <c r="H12" s="30"/>
      <c r="J12" s="30" t="s">
        <v>116</v>
      </c>
      <c r="K12" s="26" t="s">
        <v>117</v>
      </c>
      <c r="L12" s="28">
        <v>103</v>
      </c>
      <c r="M12" s="23">
        <v>128.43</v>
      </c>
      <c r="N12" s="30"/>
      <c r="P12" s="33">
        <f t="shared" si="0"/>
        <v>3.9149999999999997E-2</v>
      </c>
      <c r="Q12" s="34">
        <v>187.5</v>
      </c>
      <c r="R12" s="35">
        <f t="shared" si="1"/>
        <v>7</v>
      </c>
      <c r="S12" s="23">
        <f t="shared" si="2"/>
        <v>-17.090000000000003</v>
      </c>
      <c r="T12" s="36">
        <f t="shared" si="3"/>
        <v>-0.40959625511995312</v>
      </c>
      <c r="U12" s="36">
        <f t="shared" si="4"/>
        <v>6.2870486797197769E-2</v>
      </c>
      <c r="V12" s="32">
        <v>7.8289999999999998E-2</v>
      </c>
    </row>
    <row r="13" spans="2:36" x14ac:dyDescent="0.25">
      <c r="B13" s="30" t="s">
        <v>95</v>
      </c>
      <c r="C13" s="22" t="s">
        <v>115</v>
      </c>
      <c r="D13" s="22" t="s">
        <v>48</v>
      </c>
      <c r="E13" s="26"/>
      <c r="F13" s="28">
        <v>70.599999999999994</v>
      </c>
      <c r="G13" s="23">
        <v>246.19</v>
      </c>
      <c r="H13" s="30"/>
      <c r="J13" s="30" t="s">
        <v>116</v>
      </c>
      <c r="K13" s="26" t="s">
        <v>117</v>
      </c>
      <c r="L13" s="28">
        <v>311.60000000000002</v>
      </c>
      <c r="M13" s="23">
        <v>189.71</v>
      </c>
      <c r="N13" s="30"/>
      <c r="P13" s="33">
        <f t="shared" si="0"/>
        <v>0.12050000000000001</v>
      </c>
      <c r="Q13" s="34">
        <v>187.5</v>
      </c>
      <c r="R13" s="35">
        <f t="shared" ref="R13" si="10">ROUND(P13*Q13,0)</f>
        <v>23</v>
      </c>
      <c r="S13" s="23">
        <f t="shared" si="2"/>
        <v>56.47999999999999</v>
      </c>
      <c r="T13" s="36">
        <f t="shared" ref="T13" si="11">+R13/S13</f>
        <v>0.40722379603399439</v>
      </c>
      <c r="U13" s="36">
        <f t="shared" ref="U13" si="12">+R13/G13</f>
        <v>9.342377838255006E-2</v>
      </c>
      <c r="V13" s="32">
        <v>7.8289999999999998E-2</v>
      </c>
    </row>
    <row r="14" spans="2:36" x14ac:dyDescent="0.25">
      <c r="B14" s="30" t="s">
        <v>95</v>
      </c>
      <c r="C14" s="22" t="s">
        <v>118</v>
      </c>
      <c r="D14" s="22" t="s">
        <v>49</v>
      </c>
      <c r="E14" s="26" t="s">
        <v>103</v>
      </c>
      <c r="F14" s="28">
        <v>20</v>
      </c>
      <c r="G14" s="23">
        <v>175</v>
      </c>
      <c r="H14" s="30"/>
      <c r="J14" s="30" t="s">
        <v>119</v>
      </c>
      <c r="K14" s="26" t="s">
        <v>101</v>
      </c>
      <c r="L14" s="28">
        <v>100</v>
      </c>
      <c r="M14" s="23">
        <v>5</v>
      </c>
      <c r="N14" s="30"/>
      <c r="P14" s="33">
        <f t="shared" si="0"/>
        <v>0.04</v>
      </c>
      <c r="Q14" s="34">
        <v>187.5</v>
      </c>
      <c r="R14" s="35">
        <f t="shared" si="1"/>
        <v>8</v>
      </c>
      <c r="S14" s="23">
        <f t="shared" si="2"/>
        <v>170</v>
      </c>
      <c r="T14" s="36">
        <f t="shared" si="3"/>
        <v>4.7058823529411764E-2</v>
      </c>
      <c r="U14" s="36">
        <f t="shared" si="4"/>
        <v>4.5714285714285714E-2</v>
      </c>
      <c r="V14" s="32">
        <v>7.8289999999999998E-2</v>
      </c>
    </row>
    <row r="15" spans="2:36" x14ac:dyDescent="0.25">
      <c r="B15" s="30" t="s">
        <v>95</v>
      </c>
      <c r="C15" s="22" t="s">
        <v>50</v>
      </c>
      <c r="D15" s="22" t="s">
        <v>50</v>
      </c>
      <c r="E15" s="26" t="s">
        <v>103</v>
      </c>
      <c r="F15" s="28">
        <v>54.4</v>
      </c>
      <c r="G15" s="23">
        <v>206.63</v>
      </c>
      <c r="H15" s="30"/>
      <c r="J15" s="30" t="s">
        <v>120</v>
      </c>
      <c r="K15" s="26" t="s">
        <v>117</v>
      </c>
      <c r="L15" s="28">
        <v>280</v>
      </c>
      <c r="M15" s="23">
        <v>150</v>
      </c>
      <c r="N15" s="30"/>
      <c r="P15" s="33">
        <f t="shared" si="0"/>
        <v>0.1128</v>
      </c>
      <c r="Q15" s="34">
        <v>187.5</v>
      </c>
      <c r="R15" s="35">
        <f t="shared" si="1"/>
        <v>21</v>
      </c>
      <c r="S15" s="23">
        <f t="shared" si="2"/>
        <v>56.629999999999995</v>
      </c>
      <c r="T15" s="36">
        <f t="shared" si="3"/>
        <v>0.37082818294190362</v>
      </c>
      <c r="U15" s="36">
        <f t="shared" si="4"/>
        <v>0.10163093452064076</v>
      </c>
      <c r="V15" s="32">
        <v>7.8289999999999998E-2</v>
      </c>
    </row>
    <row r="16" spans="2:36" x14ac:dyDescent="0.25">
      <c r="B16" s="27" t="s">
        <v>95</v>
      </c>
      <c r="C16" s="96" t="s">
        <v>121</v>
      </c>
      <c r="D16" s="96" t="s">
        <v>52</v>
      </c>
      <c r="E16" s="26"/>
      <c r="F16" s="28">
        <v>620</v>
      </c>
      <c r="G16" s="23"/>
      <c r="H16" s="30"/>
      <c r="J16" s="30" t="s">
        <v>122</v>
      </c>
      <c r="K16" s="26"/>
      <c r="L16" s="28">
        <v>1080</v>
      </c>
      <c r="M16" s="23"/>
      <c r="N16" s="30"/>
      <c r="P16" s="33">
        <f>(L16-F16)/1000</f>
        <v>0.46</v>
      </c>
      <c r="Q16" s="34">
        <v>271</v>
      </c>
      <c r="R16" s="35">
        <f t="shared" si="1"/>
        <v>125</v>
      </c>
      <c r="S16" s="23"/>
      <c r="T16" s="36"/>
      <c r="U16" s="36"/>
      <c r="V16" s="32"/>
    </row>
    <row r="17" spans="2:24" x14ac:dyDescent="0.25">
      <c r="B17" s="30" t="s">
        <v>95</v>
      </c>
      <c r="C17" s="22" t="s">
        <v>123</v>
      </c>
      <c r="D17" s="22" t="s">
        <v>59</v>
      </c>
      <c r="E17" s="26"/>
      <c r="F17" s="28"/>
      <c r="G17" s="23"/>
      <c r="H17" s="30"/>
      <c r="J17" s="30"/>
      <c r="K17" s="26"/>
      <c r="L17" s="28"/>
      <c r="M17" s="23"/>
      <c r="N17" s="30"/>
      <c r="P17" s="33">
        <f>0.24*0.5</f>
        <v>0.12</v>
      </c>
      <c r="Q17" s="34">
        <v>187.5</v>
      </c>
      <c r="R17" s="35">
        <f t="shared" ref="R17:R24" si="13">ROUND(P17*Q17,0)</f>
        <v>23</v>
      </c>
      <c r="S17" s="23"/>
      <c r="T17" s="36"/>
      <c r="U17" s="36"/>
      <c r="V17" s="32"/>
    </row>
    <row r="18" spans="2:24" x14ac:dyDescent="0.25">
      <c r="B18" s="30" t="s">
        <v>95</v>
      </c>
      <c r="C18" s="22" t="s">
        <v>123</v>
      </c>
      <c r="D18" s="22" t="s">
        <v>60</v>
      </c>
      <c r="E18" s="26"/>
      <c r="F18" s="28"/>
      <c r="G18" s="23"/>
      <c r="H18" s="30"/>
      <c r="J18" s="30"/>
      <c r="K18" s="26"/>
      <c r="L18" s="28"/>
      <c r="M18" s="23"/>
      <c r="N18" s="30"/>
      <c r="P18" s="33">
        <f>0.04*0.5</f>
        <v>0.02</v>
      </c>
      <c r="Q18" s="34">
        <v>187.5</v>
      </c>
      <c r="R18" s="35">
        <f t="shared" si="13"/>
        <v>4</v>
      </c>
      <c r="S18" s="23"/>
      <c r="T18" s="36"/>
      <c r="U18" s="36"/>
      <c r="V18" s="32"/>
    </row>
    <row r="19" spans="2:24" x14ac:dyDescent="0.25">
      <c r="B19" s="27" t="s">
        <v>95</v>
      </c>
      <c r="C19" s="96" t="s">
        <v>62</v>
      </c>
      <c r="D19" s="96" t="s">
        <v>63</v>
      </c>
      <c r="E19" s="26"/>
      <c r="F19" s="28"/>
      <c r="G19" s="23"/>
      <c r="H19" s="30"/>
      <c r="J19" s="30"/>
      <c r="K19" s="26"/>
      <c r="L19" s="28"/>
      <c r="M19" s="23"/>
      <c r="N19" s="30"/>
      <c r="P19" s="33">
        <f>1.9*0.5</f>
        <v>0.95</v>
      </c>
      <c r="Q19" s="34">
        <v>250</v>
      </c>
      <c r="R19" s="35">
        <f t="shared" si="13"/>
        <v>238</v>
      </c>
      <c r="S19" s="23"/>
      <c r="T19" s="36"/>
      <c r="U19" s="36"/>
      <c r="V19" s="32"/>
      <c r="W19" s="1">
        <f>+R19/200</f>
        <v>1.19</v>
      </c>
      <c r="X19" s="1">
        <f>+W19*0.312</f>
        <v>0.37128</v>
      </c>
    </row>
    <row r="20" spans="2:24" x14ac:dyDescent="0.25">
      <c r="B20" s="27" t="s">
        <v>95</v>
      </c>
      <c r="C20" s="96" t="s">
        <v>62</v>
      </c>
      <c r="D20" s="96" t="s">
        <v>64</v>
      </c>
      <c r="E20" s="26"/>
      <c r="F20" s="28"/>
      <c r="G20" s="23"/>
      <c r="H20" s="30"/>
      <c r="J20" s="30"/>
      <c r="K20" s="26"/>
      <c r="L20" s="28"/>
      <c r="M20" s="23"/>
      <c r="N20" s="30"/>
      <c r="P20" s="33">
        <f>0.8*0.5</f>
        <v>0.4</v>
      </c>
      <c r="Q20" s="34">
        <v>250</v>
      </c>
      <c r="R20" s="35">
        <f t="shared" si="13"/>
        <v>100</v>
      </c>
      <c r="S20" s="23"/>
      <c r="T20" s="36"/>
      <c r="U20" s="36"/>
      <c r="V20" s="32"/>
      <c r="W20" s="1">
        <f t="shared" ref="W20:W24" si="14">+R20/200</f>
        <v>0.5</v>
      </c>
      <c r="X20" s="1">
        <f t="shared" ref="X20:X24" si="15">+W20*0.312</f>
        <v>0.156</v>
      </c>
    </row>
    <row r="21" spans="2:24" x14ac:dyDescent="0.25">
      <c r="B21" s="27" t="s">
        <v>95</v>
      </c>
      <c r="C21" s="96" t="s">
        <v>62</v>
      </c>
      <c r="D21" s="96" t="s">
        <v>65</v>
      </c>
      <c r="E21" s="26"/>
      <c r="F21" s="28"/>
      <c r="G21" s="23"/>
      <c r="H21" s="30"/>
      <c r="J21" s="30"/>
      <c r="K21" s="26"/>
      <c r="L21" s="28"/>
      <c r="M21" s="23"/>
      <c r="N21" s="30"/>
      <c r="P21" s="33">
        <f>0.52*0.5</f>
        <v>0.26</v>
      </c>
      <c r="Q21" s="34">
        <v>250</v>
      </c>
      <c r="R21" s="35">
        <f t="shared" si="13"/>
        <v>65</v>
      </c>
      <c r="S21" s="23"/>
      <c r="T21" s="36"/>
      <c r="U21" s="36"/>
      <c r="V21" s="32"/>
      <c r="W21" s="1">
        <f t="shared" si="14"/>
        <v>0.32500000000000001</v>
      </c>
      <c r="X21" s="1">
        <f t="shared" si="15"/>
        <v>0.1014</v>
      </c>
    </row>
    <row r="22" spans="2:24" x14ac:dyDescent="0.25">
      <c r="B22" s="27" t="s">
        <v>95</v>
      </c>
      <c r="C22" s="96" t="s">
        <v>62</v>
      </c>
      <c r="D22" s="96" t="s">
        <v>66</v>
      </c>
      <c r="E22" s="26"/>
      <c r="F22" s="28"/>
      <c r="G22" s="23"/>
      <c r="H22" s="30"/>
      <c r="J22" s="30"/>
      <c r="K22" s="26"/>
      <c r="L22" s="28"/>
      <c r="M22" s="23"/>
      <c r="N22" s="30"/>
      <c r="P22" s="33">
        <f>0.32*0.5</f>
        <v>0.16</v>
      </c>
      <c r="Q22" s="34">
        <v>250</v>
      </c>
      <c r="R22" s="35">
        <f t="shared" si="13"/>
        <v>40</v>
      </c>
      <c r="S22" s="23"/>
      <c r="T22" s="36"/>
      <c r="U22" s="36"/>
      <c r="V22" s="32"/>
      <c r="W22" s="1">
        <f t="shared" si="14"/>
        <v>0.2</v>
      </c>
      <c r="X22" s="1">
        <f t="shared" si="15"/>
        <v>6.2400000000000004E-2</v>
      </c>
    </row>
    <row r="23" spans="2:24" x14ac:dyDescent="0.25">
      <c r="B23" s="27" t="s">
        <v>95</v>
      </c>
      <c r="C23" s="96" t="s">
        <v>62</v>
      </c>
      <c r="D23" s="96" t="s">
        <v>67</v>
      </c>
      <c r="E23" s="26"/>
      <c r="F23" s="28"/>
      <c r="G23" s="23"/>
      <c r="H23" s="30"/>
      <c r="J23" s="30"/>
      <c r="K23" s="26"/>
      <c r="L23" s="28"/>
      <c r="M23" s="23"/>
      <c r="N23" s="30"/>
      <c r="P23" s="33">
        <f>0.22*0.5</f>
        <v>0.11</v>
      </c>
      <c r="Q23" s="34">
        <v>250</v>
      </c>
      <c r="R23" s="35">
        <f t="shared" si="13"/>
        <v>28</v>
      </c>
      <c r="S23" s="23"/>
      <c r="T23" s="36"/>
      <c r="U23" s="36"/>
      <c r="V23" s="32"/>
      <c r="W23" s="1">
        <f t="shared" si="14"/>
        <v>0.14000000000000001</v>
      </c>
      <c r="X23" s="1">
        <f t="shared" si="15"/>
        <v>4.3680000000000004E-2</v>
      </c>
    </row>
    <row r="24" spans="2:24" x14ac:dyDescent="0.25">
      <c r="B24" s="27" t="s">
        <v>95</v>
      </c>
      <c r="C24" s="96" t="s">
        <v>62</v>
      </c>
      <c r="D24" s="96" t="s">
        <v>68</v>
      </c>
      <c r="E24" s="26"/>
      <c r="F24" s="28"/>
      <c r="G24" s="23"/>
      <c r="H24" s="30"/>
      <c r="J24" s="30"/>
      <c r="K24" s="26"/>
      <c r="L24" s="28"/>
      <c r="M24" s="23"/>
      <c r="N24" s="30"/>
      <c r="P24" s="33">
        <f>0.176*0.5</f>
        <v>8.7999999999999995E-2</v>
      </c>
      <c r="Q24" s="34">
        <v>250</v>
      </c>
      <c r="R24" s="35">
        <f t="shared" si="13"/>
        <v>22</v>
      </c>
      <c r="S24" s="23"/>
      <c r="T24" s="36"/>
      <c r="U24" s="36"/>
      <c r="V24" s="32"/>
      <c r="W24" s="1">
        <f t="shared" si="14"/>
        <v>0.11</v>
      </c>
      <c r="X24" s="1">
        <f t="shared" si="15"/>
        <v>3.4320000000000003E-2</v>
      </c>
    </row>
    <row r="25" spans="2:24" x14ac:dyDescent="0.25">
      <c r="B25" s="27" t="s">
        <v>95</v>
      </c>
      <c r="C25" s="96" t="s">
        <v>124</v>
      </c>
      <c r="D25" s="96" t="s">
        <v>54</v>
      </c>
      <c r="E25" s="26" t="s">
        <v>103</v>
      </c>
      <c r="F25" s="28">
        <v>3</v>
      </c>
      <c r="G25" s="23">
        <v>25</v>
      </c>
      <c r="H25" s="30"/>
      <c r="J25" s="30" t="s">
        <v>54</v>
      </c>
      <c r="K25" s="26" t="s">
        <v>101</v>
      </c>
      <c r="L25" s="28">
        <v>30</v>
      </c>
      <c r="M25" s="23">
        <v>0</v>
      </c>
      <c r="N25" s="30"/>
      <c r="P25" s="33">
        <f>(L25-F25)/1000*0.5</f>
        <v>1.35E-2</v>
      </c>
      <c r="Q25" s="34">
        <v>250</v>
      </c>
      <c r="R25" s="35">
        <f t="shared" si="1"/>
        <v>3</v>
      </c>
      <c r="S25" s="23">
        <f t="shared" si="2"/>
        <v>25</v>
      </c>
      <c r="T25" s="36">
        <f t="shared" si="3"/>
        <v>0.12</v>
      </c>
      <c r="U25" s="36">
        <f t="shared" si="4"/>
        <v>0.12</v>
      </c>
      <c r="V25" s="32">
        <v>7.8289999999999998E-2</v>
      </c>
    </row>
    <row r="26" spans="2:24" x14ac:dyDescent="0.25">
      <c r="B26" s="27" t="s">
        <v>95</v>
      </c>
      <c r="C26" s="96" t="s">
        <v>125</v>
      </c>
      <c r="D26" s="96" t="s">
        <v>55</v>
      </c>
      <c r="E26" s="26" t="s">
        <v>126</v>
      </c>
      <c r="F26" s="28">
        <v>15</v>
      </c>
      <c r="G26" s="23">
        <v>10</v>
      </c>
      <c r="H26" s="30"/>
      <c r="J26" s="30" t="s">
        <v>55</v>
      </c>
      <c r="K26" s="26" t="s">
        <v>126</v>
      </c>
      <c r="L26" s="28">
        <v>75</v>
      </c>
      <c r="M26" s="23">
        <v>0</v>
      </c>
      <c r="N26" s="30"/>
      <c r="P26" s="33">
        <f>(L26-F26)/1000*0.5</f>
        <v>0.03</v>
      </c>
      <c r="Q26" s="34">
        <v>250</v>
      </c>
      <c r="R26" s="35">
        <f t="shared" si="1"/>
        <v>8</v>
      </c>
      <c r="S26" s="23">
        <f t="shared" si="2"/>
        <v>10</v>
      </c>
      <c r="T26" s="36">
        <f t="shared" si="3"/>
        <v>0.8</v>
      </c>
      <c r="U26" s="36">
        <f t="shared" si="4"/>
        <v>0.8</v>
      </c>
      <c r="V26" s="32">
        <v>7.8289999999999998E-2</v>
      </c>
    </row>
    <row r="27" spans="2:24" x14ac:dyDescent="0.25">
      <c r="E27" s="25"/>
      <c r="K27" s="25"/>
    </row>
    <row r="28" spans="2:24" x14ac:dyDescent="0.25">
      <c r="E28" s="25"/>
      <c r="K28" s="25"/>
    </row>
    <row r="29" spans="2:24" x14ac:dyDescent="0.25">
      <c r="E29" s="25"/>
      <c r="K29" s="25"/>
    </row>
    <row r="30" spans="2:24" x14ac:dyDescent="0.25">
      <c r="E30" s="25"/>
      <c r="K30" s="25"/>
    </row>
    <row r="31" spans="2:24" x14ac:dyDescent="0.25">
      <c r="E31" s="25"/>
      <c r="K31" s="25"/>
    </row>
    <row r="32" spans="2:24" x14ac:dyDescent="0.25">
      <c r="E32" s="25"/>
      <c r="K32" s="25"/>
    </row>
    <row r="33" spans="5:11" x14ac:dyDescent="0.25">
      <c r="E33" s="25"/>
      <c r="K33" s="25"/>
    </row>
    <row r="34" spans="5:11" x14ac:dyDescent="0.25">
      <c r="E34" s="25"/>
      <c r="I34" s="29"/>
      <c r="K34" s="25"/>
    </row>
    <row r="35" spans="5:11" x14ac:dyDescent="0.25">
      <c r="I35" s="29"/>
    </row>
  </sheetData>
  <sheetProtection algorithmName="SHA-512" hashValue="tdRlvbssIx3PQm+G6fop9vJxGogmfHFHyiL9cwj5yIrd+g0Xk7xUm55dmL+oRwfjmbzUjeqLhPUQDbK9YRiC+Q==" saltValue="Hoc8hhtG1QqOslJ2GZnMlQ==" spinCount="100000" sheet="1" objects="1" scenarios="1"/>
  <printOptions horizontalCentered="1"/>
  <pageMargins left="0.7" right="0.7" top="0.75" bottom="0.75" header="0.3" footer="0.3"/>
  <pageSetup scale="81" orientation="landscape" r:id="rId1"/>
  <headerFooter>
    <oddFooter>&amp;LPre-Authorized Comm. Lighting&amp;RPage &amp;P of &amp;N</oddFooter>
  </headerFooter>
  <colBreaks count="2" manualBreakCount="2">
    <brk id="9" min="1" max="24" man="1"/>
    <brk id="15" min="1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topLeftCell="A4" workbookViewId="0">
      <selection activeCell="D21" sqref="D21"/>
    </sheetView>
  </sheetViews>
  <sheetFormatPr defaultRowHeight="15" x14ac:dyDescent="0.25"/>
  <sheetData>
    <row r="1" spans="1:9" x14ac:dyDescent="0.25">
      <c r="A1" t="s">
        <v>127</v>
      </c>
      <c r="I1" t="s">
        <v>128</v>
      </c>
    </row>
    <row r="3" spans="1:9" x14ac:dyDescent="0.25">
      <c r="A3">
        <v>2017.2</v>
      </c>
    </row>
    <row r="4" spans="1:9" x14ac:dyDescent="0.25">
      <c r="A4" t="s">
        <v>129</v>
      </c>
    </row>
    <row r="5" spans="1:9" x14ac:dyDescent="0.25">
      <c r="A5" s="39" t="s">
        <v>130</v>
      </c>
    </row>
    <row r="6" spans="1:9" x14ac:dyDescent="0.25">
      <c r="A6" s="39" t="s">
        <v>131</v>
      </c>
    </row>
    <row r="7" spans="1:9" x14ac:dyDescent="0.25">
      <c r="A7" s="39" t="s">
        <v>132</v>
      </c>
    </row>
    <row r="8" spans="1:9" x14ac:dyDescent="0.25">
      <c r="A8" s="39" t="s">
        <v>133</v>
      </c>
    </row>
    <row r="9" spans="1:9" x14ac:dyDescent="0.25">
      <c r="A9" s="39" t="s">
        <v>134</v>
      </c>
    </row>
    <row r="10" spans="1:9" x14ac:dyDescent="0.25">
      <c r="A10" s="40" t="s">
        <v>135</v>
      </c>
    </row>
    <row r="11" spans="1:9" x14ac:dyDescent="0.25">
      <c r="A11" s="39" t="s">
        <v>136</v>
      </c>
    </row>
    <row r="12" spans="1:9" x14ac:dyDescent="0.25">
      <c r="A12" s="39" t="s">
        <v>137</v>
      </c>
    </row>
    <row r="15" spans="1:9" x14ac:dyDescent="0.25">
      <c r="A15">
        <v>2018.1</v>
      </c>
    </row>
    <row r="16" spans="1:9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2" spans="1:1" x14ac:dyDescent="0.25">
      <c r="A22">
        <v>2019.1</v>
      </c>
    </row>
    <row r="23" spans="1:1" x14ac:dyDescent="0.25">
      <c r="A23" t="s">
        <v>143</v>
      </c>
    </row>
    <row r="24" spans="1:1" x14ac:dyDescent="0.25">
      <c r="A24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C Document" ma:contentTypeID="0x010100F21215F7FD3C0E4C99E1CE8A2148072F00778E1B355E5F9C479A3560C58B0ECC09" ma:contentTypeVersion="26" ma:contentTypeDescription="" ma:contentTypeScope="" ma:versionID="1c345f2112e9c6ccbc6c480ee073b9d4">
  <xsd:schema xmlns:xsd="http://www.w3.org/2001/XMLSchema" xmlns:xs="http://www.w3.org/2001/XMLSchema" xmlns:p="http://schemas.microsoft.com/office/2006/metadata/properties" xmlns:ns2="0a46f7a5-1bcd-4e31-817c-e73f36fc7663" xmlns:ns3="fbba943f-f27b-4ddf-9f1d-a6b9a4e3e575" targetNamespace="http://schemas.microsoft.com/office/2006/metadata/properties" ma:root="true" ma:fieldsID="f36255c5482d7649231c8c58f4ae57c7" ns2:_="" ns3:_="">
    <xsd:import namespace="0a46f7a5-1bcd-4e31-817c-e73f36fc7663"/>
    <xsd:import namespace="fbba943f-f27b-4ddf-9f1d-a6b9a4e3e575"/>
    <xsd:element name="properties">
      <xsd:complexType>
        <xsd:sequence>
          <xsd:element name="documentManagement">
            <xsd:complexType>
              <xsd:all>
                <xsd:element ref="ns2:documentDate" minOccurs="0"/>
                <xsd:element ref="ns2:c476401970d54389a0bf91c36e066079" minOccurs="0"/>
                <xsd:element ref="ns2:TaxCatchAll" minOccurs="0"/>
                <xsd:element ref="ns2:TaxCatchAllLabel" minOccurs="0"/>
                <xsd:element ref="ns2:ProductDescription" minOccurs="0"/>
                <xsd:element ref="ns3:DR_x0020_Types" minOccurs="0"/>
                <xsd:element ref="ns3:Sort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6f7a5-1bcd-4e31-817c-e73f36fc7663" elementFormDefault="qualified">
    <xsd:import namespace="http://schemas.microsoft.com/office/2006/documentManagement/types"/>
    <xsd:import namespace="http://schemas.microsoft.com/office/infopath/2007/PartnerControls"/>
    <xsd:element name="documentDate" ma:index="8" nillable="true" ma:displayName="Document Date" ma:default="[today]" ma:description="Select the document date for this content." ma:format="DateOnly" ma:indexed="true" ma:internalName="documentDate">
      <xsd:simpleType>
        <xsd:restriction base="dms:DateTime"/>
      </xsd:simpleType>
    </xsd:element>
    <xsd:element name="c476401970d54389a0bf91c36e066079" ma:index="11" nillable="true" ma:taxonomy="true" ma:internalName="c476401970d54389a0bf91c36e066079" ma:taxonomyFieldName="MICtopic" ma:displayName="MIC Topic" ma:indexed="true" ma:default="" ma:fieldId="{c4764019-70d5-4389-a0bf-91c36e066079}" ma:sspId="e22945de-84d9-4a93-8821-2542e139bd70" ma:termSetId="e8bbe524-5522-4395-8285-1161ffe28b81" ma:anchorId="812308c3-72f4-4dd9-a315-71aa0e095fee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c4bedb9b-6569-4876-974d-f7d334f2d93a}" ma:internalName="TaxCatchAll" ma:showField="CatchAllData" ma:web="0a46f7a5-1bcd-4e31-817c-e73f36fc7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c4bedb9b-6569-4876-974d-f7d334f2d93a}" ma:internalName="TaxCatchAllLabel" ma:readOnly="true" ma:showField="CatchAllDataLabel" ma:web="0a46f7a5-1bcd-4e31-817c-e73f36fc7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Description" ma:index="15" nillable="true" ma:displayName="Product Description" ma:internalName="Product_x0020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a943f-f27b-4ddf-9f1d-a6b9a4e3e575" elementFormDefault="qualified">
    <xsd:import namespace="http://schemas.microsoft.com/office/2006/documentManagement/types"/>
    <xsd:import namespace="http://schemas.microsoft.com/office/infopath/2007/PartnerControls"/>
    <xsd:element name="DR_x0020_Types" ma:index="16" nillable="true" ma:displayName="Demand Response" ma:format="Dropdown" ma:internalName="DR_x0020_Types">
      <xsd:simpleType>
        <xsd:restriction base="dms:Choice">
          <xsd:enumeration value="All Contracts"/>
          <xsd:enumeration value="DR Program"/>
          <xsd:enumeration value="DS &amp; ES Advisory Council"/>
          <xsd:enumeration value="Home &amp; Small Business"/>
          <xsd:enumeration value="Irrigation"/>
          <xsd:enumeration value="Large Commercial &amp; Industrial"/>
          <xsd:enumeration value="Spec Sheets"/>
        </xsd:restriction>
      </xsd:simpleType>
    </xsd:element>
    <xsd:element name="SortBy" ma:index="17" nillable="true" ma:displayName="SortBy" ma:decimals="0" ma:internalName="SortBy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46f7a5-1bcd-4e31-817c-e73f36fc7663">
      <Value>44</Value>
    </TaxCatchAll>
    <c476401970d54389a0bf91c36e066079 xmlns="0a46f7a5-1bcd-4e31-817c-e73f36fc76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Energy-Efficient Products</TermName>
          <TermId xmlns="http://schemas.microsoft.com/office/infopath/2007/PartnerControls">423768b3-304a-45bd-801b-0555adb77ca0</TermId>
        </TermInfo>
      </Terms>
    </c476401970d54389a0bf91c36e066079>
    <DR_x0020_Types xmlns="fbba943f-f27b-4ddf-9f1d-a6b9a4e3e575" xsi:nil="true"/>
    <documentDate xmlns="0a46f7a5-1bcd-4e31-817c-e73f36fc7663">2023-01-24T07:00:00+00:00</documentDate>
    <SortBy xmlns="fbba943f-f27b-4ddf-9f1d-a6b9a4e3e575" xsi:nil="true"/>
    <ProductDescription xmlns="0a46f7a5-1bcd-4e31-817c-e73f36fc7663" xsi:nil="true"/>
  </documentManagement>
</p:properties>
</file>

<file path=customXml/itemProps1.xml><?xml version="1.0" encoding="utf-8"?>
<ds:datastoreItem xmlns:ds="http://schemas.openxmlformats.org/officeDocument/2006/customXml" ds:itemID="{25157BCF-2DE8-4391-AA66-F2325B44D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6f7a5-1bcd-4e31-817c-e73f36fc7663"/>
    <ds:schemaRef ds:uri="fbba943f-f27b-4ddf-9f1d-a6b9a4e3e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D346D-1804-49E7-BED0-19C55FF00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A0081-6064-4812-81C5-42AD8B7D6AEA}">
  <ds:schemaRefs>
    <ds:schemaRef ds:uri="http://schemas.microsoft.com/office/2006/metadata/properties"/>
    <ds:schemaRef ds:uri="http://schemas.microsoft.com/office/2006/documentManagement/types"/>
    <ds:schemaRef ds:uri="fbba943f-f27b-4ddf-9f1d-a6b9a4e3e575"/>
    <ds:schemaRef ds:uri="0a46f7a5-1bcd-4e31-817c-e73f36fc7663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Application Information</vt:lpstr>
      <vt:lpstr>Submission Form</vt:lpstr>
      <vt:lpstr>Measure Assumptions</vt:lpstr>
      <vt:lpstr>Sheet1</vt:lpstr>
      <vt:lpstr>'Application Information'!Print_Area</vt:lpstr>
      <vt:lpstr>'Measure Assumptions'!Print_Area</vt:lpstr>
      <vt:lpstr>'Submission Form'!Print_Area</vt:lpstr>
      <vt:lpstr>'Application Information'!Print_Titles</vt:lpstr>
      <vt:lpstr>'Measure Assumptions'!Print_Titles</vt:lpstr>
    </vt:vector>
  </TitlesOfParts>
  <Manager/>
  <Company>Tri-State G&amp;T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Commercial Lighting New Construction</dc:title>
  <dc:subject/>
  <dc:creator>keieme</dc:creator>
  <cp:keywords/>
  <dc:description/>
  <cp:lastModifiedBy>Karen Wisdom</cp:lastModifiedBy>
  <dcterms:created xsi:type="dcterms:W3CDTF">2009-12-28T22:15:24Z</dcterms:created>
  <dcterms:modified xsi:type="dcterms:W3CDTF">2023-08-08T22:28:12Z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0x010100F21215F7FD3C0E4C99E1CE8A2148072F00778E1B355E5F9C479A3560C58B0ECC09</vt:lpwstr>
  </property>
  <property fmtid="{D5CDD505-2E9C-101B-9397-08002B2CF9AE}" pid="3" name="MICtopic">
    <vt:lpwstr>44;#Energy-Efficient Products|423768b3-304a-45bd-801b-0555adb77ca0</vt:lpwstr>
  </property>
  <property fmtid="{D5CDD505-2E9C-101B-9397-08002B2CF9AE}" pid="4" name="tsgtDivision">
    <vt:lpwstr/>
  </property>
</Properties>
</file>